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Bf\OneDrive\Skrivbord\Kansliet\Gullmars möte\"/>
    </mc:Choice>
  </mc:AlternateContent>
  <xr:revisionPtr revIDLastSave="0" documentId="8_{EE44586C-4FDF-4B36-B499-172242E22A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7" r:id="rId1"/>
    <sheet name="Spec. Konton-RES.ENH" sheetId="10" r:id="rId2"/>
    <sheet name="Spec. Konton" sheetId="8" r:id="rId3"/>
    <sheet name="Sammandrag Spec." sheetId="9" r:id="rId4"/>
    <sheet name="Blad1" sheetId="11" r:id="rId5"/>
  </sheets>
  <definedNames>
    <definedName name="_xlnm.Print_Area" localSheetId="4">Blad1!#REF!</definedName>
    <definedName name="_xlnm.Print_Area" localSheetId="0">BUDGET!$A$1:$L$69</definedName>
    <definedName name="_xlnm.Print_Area" localSheetId="3">'Sammandrag Spec.'!$A$1:$J$37</definedName>
    <definedName name="_xlnm.Print_Area" localSheetId="2">'Spec. Konton'!$A$4:$I$73</definedName>
    <definedName name="_xlnm.Print_Area" localSheetId="1">'Spec. Konton-RES.ENH'!$A$1:$BH$75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3" i="7" l="1"/>
  <c r="AA63" i="7"/>
  <c r="AB50" i="7"/>
  <c r="AA50" i="7"/>
  <c r="AA39" i="7"/>
  <c r="AB39" i="7"/>
  <c r="AB27" i="7"/>
  <c r="AA27" i="7"/>
  <c r="AB20" i="7"/>
  <c r="AA20" i="7"/>
  <c r="AA11" i="7"/>
  <c r="AB11" i="7"/>
  <c r="AN29" i="10"/>
  <c r="AN18" i="10"/>
  <c r="AA65" i="7" l="1"/>
  <c r="AA69" i="7" s="1"/>
  <c r="AB65" i="7"/>
  <c r="AB69" i="7" s="1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2" i="10"/>
  <c r="T6" i="10"/>
  <c r="T71" i="10" l="1"/>
  <c r="T26" i="10"/>
  <c r="S71" i="10"/>
  <c r="S26" i="10"/>
  <c r="Y43" i="7"/>
  <c r="Y37" i="7"/>
  <c r="Y33" i="7"/>
  <c r="Y6" i="7"/>
  <c r="X6" i="7"/>
  <c r="R67" i="8"/>
  <c r="R31" i="9" s="1"/>
  <c r="R29" i="8"/>
  <c r="R30" i="8"/>
  <c r="R31" i="8"/>
  <c r="R32" i="8"/>
  <c r="R21" i="9" s="1"/>
  <c r="R34" i="8"/>
  <c r="R35" i="8"/>
  <c r="R36" i="8"/>
  <c r="R38" i="8"/>
  <c r="R39" i="8"/>
  <c r="R40" i="8"/>
  <c r="R42" i="8"/>
  <c r="R44" i="8"/>
  <c r="R46" i="8"/>
  <c r="R47" i="8"/>
  <c r="R48" i="8"/>
  <c r="R28" i="9" s="1"/>
  <c r="R50" i="8"/>
  <c r="R51" i="8"/>
  <c r="R52" i="8"/>
  <c r="R54" i="8"/>
  <c r="R29" i="9" s="1"/>
  <c r="R55" i="8"/>
  <c r="R56" i="8"/>
  <c r="R58" i="8"/>
  <c r="R60" i="8"/>
  <c r="R62" i="8"/>
  <c r="R63" i="8"/>
  <c r="R64" i="8"/>
  <c r="R66" i="8"/>
  <c r="R68" i="8"/>
  <c r="R28" i="8"/>
  <c r="R7" i="8"/>
  <c r="R8" i="8"/>
  <c r="R9" i="8"/>
  <c r="R10" i="8"/>
  <c r="R12" i="8"/>
  <c r="R13" i="8"/>
  <c r="R14" i="8"/>
  <c r="R9" i="9" s="1"/>
  <c r="R15" i="8"/>
  <c r="R10" i="9" s="1"/>
  <c r="R16" i="8"/>
  <c r="R11" i="9" s="1"/>
  <c r="R17" i="8"/>
  <c r="R18" i="8"/>
  <c r="R19" i="8"/>
  <c r="R20" i="8"/>
  <c r="R21" i="8"/>
  <c r="R22" i="8"/>
  <c r="R23" i="8"/>
  <c r="R24" i="8"/>
  <c r="R25" i="8"/>
  <c r="R6" i="8"/>
  <c r="Y63" i="7"/>
  <c r="X63" i="7"/>
  <c r="Y50" i="7"/>
  <c r="X50" i="7"/>
  <c r="Y39" i="7"/>
  <c r="X39" i="7"/>
  <c r="Y27" i="7"/>
  <c r="X27" i="7"/>
  <c r="Y20" i="7"/>
  <c r="X20" i="7"/>
  <c r="Y11" i="7"/>
  <c r="X11" i="7"/>
  <c r="R70" i="8"/>
  <c r="R69" i="8"/>
  <c r="R65" i="8"/>
  <c r="R61" i="8"/>
  <c r="R59" i="8"/>
  <c r="R57" i="8"/>
  <c r="R53" i="8"/>
  <c r="R49" i="8"/>
  <c r="R45" i="8"/>
  <c r="R43" i="8"/>
  <c r="R41" i="8"/>
  <c r="R37" i="8"/>
  <c r="R33" i="8"/>
  <c r="R11" i="8"/>
  <c r="Q29" i="8"/>
  <c r="Q30" i="8"/>
  <c r="Q31" i="8"/>
  <c r="Q32" i="8"/>
  <c r="Q21" i="9" s="1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28" i="9" s="1"/>
  <c r="Q49" i="8"/>
  <c r="Q50" i="8"/>
  <c r="Q51" i="8"/>
  <c r="Q52" i="8"/>
  <c r="Q53" i="8"/>
  <c r="Q54" i="8"/>
  <c r="Q29" i="9" s="1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31" i="9" s="1"/>
  <c r="Q68" i="8"/>
  <c r="Q69" i="8"/>
  <c r="Q70" i="8"/>
  <c r="Q28" i="8"/>
  <c r="Q7" i="8"/>
  <c r="Q8" i="8"/>
  <c r="Q9" i="8"/>
  <c r="Q10" i="8"/>
  <c r="Q11" i="8"/>
  <c r="Q12" i="8"/>
  <c r="Q13" i="8"/>
  <c r="Q14" i="8"/>
  <c r="Q9" i="9" s="1"/>
  <c r="Q15" i="8"/>
  <c r="Q10" i="9" s="1"/>
  <c r="Q16" i="8"/>
  <c r="Q11" i="9" s="1"/>
  <c r="Q17" i="8"/>
  <c r="Q18" i="8"/>
  <c r="Q19" i="8"/>
  <c r="Q20" i="8"/>
  <c r="Q21" i="8"/>
  <c r="Q22" i="8"/>
  <c r="Q23" i="8"/>
  <c r="Q24" i="8"/>
  <c r="Q25" i="8"/>
  <c r="Q6" i="8"/>
  <c r="P45" i="8"/>
  <c r="P28" i="8"/>
  <c r="Q71" i="10"/>
  <c r="Q26" i="10"/>
  <c r="P26" i="10"/>
  <c r="AN71" i="10"/>
  <c r="AN26" i="10"/>
  <c r="AK71" i="10"/>
  <c r="T73" i="10" l="1"/>
  <c r="Q8" i="9"/>
  <c r="Q32" i="9"/>
  <c r="Q23" i="9"/>
  <c r="S73" i="10"/>
  <c r="Q14" i="9"/>
  <c r="Q12" i="9"/>
  <c r="Q30" i="9"/>
  <c r="Q7" i="9"/>
  <c r="Q20" i="9"/>
  <c r="R22" i="9"/>
  <c r="Q22" i="9"/>
  <c r="R27" i="9"/>
  <c r="Q15" i="9"/>
  <c r="Q27" i="9"/>
  <c r="R25" i="9"/>
  <c r="Q25" i="9"/>
  <c r="Q19" i="9"/>
  <c r="R32" i="9"/>
  <c r="Q26" i="9"/>
  <c r="Q24" i="9"/>
  <c r="Q26" i="8"/>
  <c r="Q71" i="8"/>
  <c r="R23" i="9"/>
  <c r="R8" i="9"/>
  <c r="R24" i="9"/>
  <c r="R20" i="9"/>
  <c r="R12" i="9"/>
  <c r="R30" i="9"/>
  <c r="R71" i="10"/>
  <c r="R26" i="9"/>
  <c r="R14" i="9"/>
  <c r="R7" i="9"/>
  <c r="R19" i="9"/>
  <c r="R71" i="8"/>
  <c r="R15" i="9"/>
  <c r="R26" i="10"/>
  <c r="R26" i="8"/>
  <c r="Y65" i="7"/>
  <c r="Y69" i="7" s="1"/>
  <c r="X65" i="7"/>
  <c r="X69" i="7" s="1"/>
  <c r="Q73" i="10"/>
  <c r="AN73" i="10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28" i="8"/>
  <c r="O7" i="8"/>
  <c r="O8" i="8"/>
  <c r="O9" i="8"/>
  <c r="O10" i="8"/>
  <c r="O11" i="8"/>
  <c r="O12" i="8"/>
  <c r="O13" i="8"/>
  <c r="O14" i="8"/>
  <c r="O9" i="9" s="1"/>
  <c r="O15" i="8"/>
  <c r="O16" i="8"/>
  <c r="O17" i="8"/>
  <c r="O18" i="8"/>
  <c r="O19" i="8"/>
  <c r="O20" i="8"/>
  <c r="O21" i="8"/>
  <c r="O22" i="8"/>
  <c r="O23" i="8"/>
  <c r="O24" i="8"/>
  <c r="O25" i="8"/>
  <c r="O6" i="8"/>
  <c r="U71" i="10"/>
  <c r="N43" i="8"/>
  <c r="O71" i="10"/>
  <c r="O26" i="10"/>
  <c r="V63" i="7"/>
  <c r="U63" i="7"/>
  <c r="U49" i="7"/>
  <c r="U50" i="7" s="1"/>
  <c r="V50" i="7"/>
  <c r="V39" i="7"/>
  <c r="U39" i="7"/>
  <c r="V27" i="7"/>
  <c r="U27" i="7"/>
  <c r="V20" i="7"/>
  <c r="U20" i="7"/>
  <c r="V11" i="7"/>
  <c r="Q34" i="9" l="1"/>
  <c r="Q17" i="9"/>
  <c r="Q73" i="8"/>
  <c r="R34" i="9"/>
  <c r="R17" i="9"/>
  <c r="R73" i="10"/>
  <c r="R73" i="8"/>
  <c r="O15" i="9"/>
  <c r="O12" i="9"/>
  <c r="O20" i="9"/>
  <c r="O22" i="9"/>
  <c r="O26" i="9"/>
  <c r="O23" i="9"/>
  <c r="O73" i="10"/>
  <c r="V65" i="7"/>
  <c r="V69" i="7" s="1"/>
  <c r="P30" i="8"/>
  <c r="P31" i="8"/>
  <c r="P33" i="8"/>
  <c r="P34" i="8"/>
  <c r="P35" i="8"/>
  <c r="P36" i="8"/>
  <c r="P37" i="8"/>
  <c r="P38" i="8"/>
  <c r="P39" i="8"/>
  <c r="P47" i="8"/>
  <c r="P49" i="8"/>
  <c r="P50" i="8"/>
  <c r="P53" i="8"/>
  <c r="P55" i="8"/>
  <c r="P56" i="8"/>
  <c r="P57" i="8"/>
  <c r="P25" i="8"/>
  <c r="P7" i="8"/>
  <c r="P8" i="8"/>
  <c r="P9" i="8"/>
  <c r="P10" i="8"/>
  <c r="P11" i="8"/>
  <c r="P14" i="8"/>
  <c r="P9" i="9" s="1"/>
  <c r="P18" i="8"/>
  <c r="P19" i="8"/>
  <c r="P20" i="8"/>
  <c r="P21" i="8"/>
  <c r="P24" i="8"/>
  <c r="P6" i="8"/>
  <c r="R6" i="7"/>
  <c r="S63" i="7"/>
  <c r="R63" i="7"/>
  <c r="S39" i="7"/>
  <c r="R39" i="7"/>
  <c r="S27" i="7"/>
  <c r="R27" i="7"/>
  <c r="S20" i="7"/>
  <c r="R20" i="7"/>
  <c r="S11" i="7"/>
  <c r="R11" i="7"/>
  <c r="N23" i="8"/>
  <c r="N29" i="8"/>
  <c r="N19" i="9" s="1"/>
  <c r="N30" i="8"/>
  <c r="N31" i="8"/>
  <c r="N32" i="8"/>
  <c r="N21" i="9" s="1"/>
  <c r="N33" i="8"/>
  <c r="N34" i="8"/>
  <c r="N35" i="8"/>
  <c r="N36" i="8"/>
  <c r="N37" i="8"/>
  <c r="N38" i="8"/>
  <c r="N39" i="8"/>
  <c r="N40" i="8"/>
  <c r="N41" i="8"/>
  <c r="N42" i="8"/>
  <c r="N44" i="8"/>
  <c r="N46" i="8"/>
  <c r="N27" i="9" s="1"/>
  <c r="N47" i="8"/>
  <c r="N48" i="8"/>
  <c r="N28" i="9" s="1"/>
  <c r="N49" i="8"/>
  <c r="N50" i="8"/>
  <c r="N51" i="8"/>
  <c r="N52" i="8"/>
  <c r="N53" i="8"/>
  <c r="N54" i="8"/>
  <c r="N29" i="9" s="1"/>
  <c r="N55" i="8"/>
  <c r="N56" i="8"/>
  <c r="N57" i="8"/>
  <c r="N58" i="8"/>
  <c r="N59" i="8"/>
  <c r="N60" i="8"/>
  <c r="N61" i="8"/>
  <c r="N63" i="8"/>
  <c r="N64" i="8"/>
  <c r="N65" i="8"/>
  <c r="N67" i="8"/>
  <c r="N31" i="9" s="1"/>
  <c r="N68" i="8"/>
  <c r="N69" i="8"/>
  <c r="N70" i="8"/>
  <c r="N25" i="8"/>
  <c r="N7" i="8"/>
  <c r="N8" i="8"/>
  <c r="N9" i="8"/>
  <c r="N10" i="8"/>
  <c r="N11" i="8"/>
  <c r="N12" i="8"/>
  <c r="N13" i="8"/>
  <c r="N14" i="8"/>
  <c r="N9" i="9" s="1"/>
  <c r="N15" i="8"/>
  <c r="N10" i="9" s="1"/>
  <c r="N16" i="8"/>
  <c r="N11" i="9" s="1"/>
  <c r="N18" i="8"/>
  <c r="N19" i="8"/>
  <c r="N20" i="8"/>
  <c r="N21" i="8"/>
  <c r="N22" i="8"/>
  <c r="N24" i="8"/>
  <c r="N6" i="8"/>
  <c r="M62" i="8"/>
  <c r="M45" i="8"/>
  <c r="M43" i="8"/>
  <c r="M28" i="8"/>
  <c r="M17" i="8"/>
  <c r="M67" i="8"/>
  <c r="M31" i="9" s="1"/>
  <c r="M64" i="8"/>
  <c r="M63" i="8"/>
  <c r="M59" i="8"/>
  <c r="M58" i="8"/>
  <c r="M54" i="8"/>
  <c r="M29" i="9" s="1"/>
  <c r="M53" i="8"/>
  <c r="M52" i="8"/>
  <c r="M51" i="8"/>
  <c r="M49" i="8"/>
  <c r="M48" i="8"/>
  <c r="M28" i="9" s="1"/>
  <c r="M47" i="8"/>
  <c r="M46" i="8"/>
  <c r="M44" i="8"/>
  <c r="M42" i="8"/>
  <c r="M41" i="8"/>
  <c r="M40" i="8"/>
  <c r="M39" i="8"/>
  <c r="M38" i="8"/>
  <c r="M37" i="8"/>
  <c r="M36" i="8"/>
  <c r="M35" i="8"/>
  <c r="M34" i="8"/>
  <c r="M33" i="8"/>
  <c r="M32" i="8"/>
  <c r="M21" i="9" s="1"/>
  <c r="M31" i="8"/>
  <c r="M30" i="8"/>
  <c r="M29" i="8"/>
  <c r="M24" i="8"/>
  <c r="M23" i="8"/>
  <c r="M22" i="8"/>
  <c r="M20" i="8"/>
  <c r="M19" i="8"/>
  <c r="M18" i="8"/>
  <c r="M15" i="8"/>
  <c r="M10" i="9" s="1"/>
  <c r="M12" i="8"/>
  <c r="M6" i="8"/>
  <c r="M70" i="10"/>
  <c r="M70" i="8" s="1"/>
  <c r="M69" i="10"/>
  <c r="M69" i="8" s="1"/>
  <c r="M68" i="10"/>
  <c r="M68" i="8" s="1"/>
  <c r="M66" i="10"/>
  <c r="M65" i="10"/>
  <c r="M65" i="8" s="1"/>
  <c r="M61" i="10"/>
  <c r="M61" i="8" s="1"/>
  <c r="M60" i="10"/>
  <c r="M60" i="8" s="1"/>
  <c r="M57" i="10"/>
  <c r="M57" i="8" s="1"/>
  <c r="M56" i="10"/>
  <c r="M56" i="8" s="1"/>
  <c r="M55" i="10"/>
  <c r="M55" i="8" s="1"/>
  <c r="M50" i="10"/>
  <c r="M50" i="8" s="1"/>
  <c r="M25" i="10"/>
  <c r="M25" i="8" s="1"/>
  <c r="M21" i="10"/>
  <c r="M21" i="8" s="1"/>
  <c r="M16" i="10"/>
  <c r="M16" i="8" s="1"/>
  <c r="M11" i="9" s="1"/>
  <c r="M14" i="10"/>
  <c r="M14" i="8" s="1"/>
  <c r="M9" i="9" s="1"/>
  <c r="M13" i="10"/>
  <c r="M13" i="8" s="1"/>
  <c r="M11" i="10"/>
  <c r="M11" i="8" s="1"/>
  <c r="M10" i="10"/>
  <c r="M10" i="8" s="1"/>
  <c r="M9" i="10"/>
  <c r="M9" i="8" s="1"/>
  <c r="M8" i="10"/>
  <c r="M8" i="8" s="1"/>
  <c r="M7" i="10"/>
  <c r="M7" i="8" s="1"/>
  <c r="K12" i="9"/>
  <c r="K27" i="9"/>
  <c r="K32" i="9"/>
  <c r="K31" i="9"/>
  <c r="K30" i="9"/>
  <c r="K29" i="9"/>
  <c r="K26" i="9"/>
  <c r="K25" i="9"/>
  <c r="K24" i="9"/>
  <c r="K23" i="9"/>
  <c r="K22" i="9"/>
  <c r="K21" i="9"/>
  <c r="K20" i="9"/>
  <c r="K19" i="9"/>
  <c r="K15" i="9"/>
  <c r="K14" i="9"/>
  <c r="K11" i="9"/>
  <c r="K10" i="9"/>
  <c r="K9" i="9"/>
  <c r="K8" i="9"/>
  <c r="K7" i="9"/>
  <c r="K48" i="8"/>
  <c r="K28" i="9" s="1"/>
  <c r="K48" i="10"/>
  <c r="K26" i="8"/>
  <c r="P63" i="7"/>
  <c r="P39" i="7"/>
  <c r="O39" i="7"/>
  <c r="P27" i="7"/>
  <c r="O27" i="7"/>
  <c r="P20" i="7"/>
  <c r="O20" i="7"/>
  <c r="P11" i="7"/>
  <c r="O11" i="7"/>
  <c r="L70" i="10"/>
  <c r="L70" i="8" s="1"/>
  <c r="L30" i="10"/>
  <c r="L30" i="8" s="1"/>
  <c r="L31" i="8"/>
  <c r="L32" i="10"/>
  <c r="L32" i="8" s="1"/>
  <c r="L21" i="9" s="1"/>
  <c r="L33" i="8"/>
  <c r="L34" i="8"/>
  <c r="L35" i="8"/>
  <c r="L36" i="10"/>
  <c r="L36" i="8" s="1"/>
  <c r="L37" i="8"/>
  <c r="L38" i="8"/>
  <c r="L39" i="10"/>
  <c r="L39" i="8" s="1"/>
  <c r="L40" i="8"/>
  <c r="L41" i="8"/>
  <c r="L42" i="10"/>
  <c r="L42" i="8" s="1"/>
  <c r="L44" i="8"/>
  <c r="L46" i="8"/>
  <c r="L27" i="9" s="1"/>
  <c r="L47" i="10"/>
  <c r="L47" i="8" s="1"/>
  <c r="L48" i="8"/>
  <c r="L28" i="9" s="1"/>
  <c r="L49" i="8"/>
  <c r="L50" i="10"/>
  <c r="L50" i="8" s="1"/>
  <c r="L51" i="8"/>
  <c r="L52" i="10"/>
  <c r="L52" i="8" s="1"/>
  <c r="L53" i="8"/>
  <c r="L54" i="8"/>
  <c r="L29" i="9" s="1"/>
  <c r="L55" i="10"/>
  <c r="L55" i="8" s="1"/>
  <c r="L56" i="10"/>
  <c r="L56" i="8" s="1"/>
  <c r="L57" i="10"/>
  <c r="L57" i="8" s="1"/>
  <c r="L58" i="8"/>
  <c r="L59" i="8"/>
  <c r="L60" i="10"/>
  <c r="L60" i="8" s="1"/>
  <c r="L61" i="10"/>
  <c r="L61" i="8" s="1"/>
  <c r="L63" i="8"/>
  <c r="L64" i="8"/>
  <c r="L65" i="10"/>
  <c r="L65" i="8" s="1"/>
  <c r="L66" i="10"/>
  <c r="L67" i="8"/>
  <c r="L31" i="9" s="1"/>
  <c r="L68" i="10"/>
  <c r="L68" i="8" s="1"/>
  <c r="L69" i="10"/>
  <c r="L69" i="8" s="1"/>
  <c r="L29" i="8"/>
  <c r="L19" i="9" s="1"/>
  <c r="L25" i="10"/>
  <c r="L25" i="8" s="1"/>
  <c r="L7" i="10"/>
  <c r="L7" i="8" s="1"/>
  <c r="L8" i="10"/>
  <c r="L8" i="8" s="1"/>
  <c r="L9" i="10"/>
  <c r="L9" i="8" s="1"/>
  <c r="L10" i="10"/>
  <c r="L10" i="8" s="1"/>
  <c r="L11" i="10"/>
  <c r="L11" i="8" s="1"/>
  <c r="L12" i="8"/>
  <c r="L13" i="10"/>
  <c r="L14" i="10"/>
  <c r="L14" i="8" s="1"/>
  <c r="L9" i="9" s="1"/>
  <c r="L15" i="8"/>
  <c r="L10" i="9" s="1"/>
  <c r="L16" i="8"/>
  <c r="L11" i="9" s="1"/>
  <c r="L17" i="10"/>
  <c r="L18" i="10"/>
  <c r="L18" i="8" s="1"/>
  <c r="L19" i="10"/>
  <c r="L19" i="8" s="1"/>
  <c r="L20" i="10"/>
  <c r="L20" i="8" s="1"/>
  <c r="L21" i="10"/>
  <c r="L21" i="8" s="1"/>
  <c r="L22" i="10"/>
  <c r="L22" i="8" s="1"/>
  <c r="L23" i="8"/>
  <c r="L24" i="10"/>
  <c r="L24" i="8" s="1"/>
  <c r="L6" i="8"/>
  <c r="J6" i="7"/>
  <c r="Q36" i="9" l="1"/>
  <c r="R36" i="9"/>
  <c r="P12" i="9"/>
  <c r="P22" i="9"/>
  <c r="N25" i="9"/>
  <c r="P15" i="9"/>
  <c r="P23" i="9"/>
  <c r="N7" i="9"/>
  <c r="P7" i="9"/>
  <c r="P20" i="9"/>
  <c r="P70" i="8"/>
  <c r="P69" i="8"/>
  <c r="O32" i="9"/>
  <c r="P68" i="8"/>
  <c r="P65" i="8"/>
  <c r="P61" i="8"/>
  <c r="P60" i="8"/>
  <c r="P41" i="8"/>
  <c r="O24" i="9"/>
  <c r="P40" i="8"/>
  <c r="P24" i="9" s="1"/>
  <c r="P43" i="8"/>
  <c r="P42" i="8"/>
  <c r="P29" i="8"/>
  <c r="P19" i="9" s="1"/>
  <c r="O21" i="9"/>
  <c r="P32" i="8"/>
  <c r="P21" i="9" s="1"/>
  <c r="O31" i="9"/>
  <c r="P67" i="8"/>
  <c r="P31" i="9" s="1"/>
  <c r="P64" i="8"/>
  <c r="P63" i="8"/>
  <c r="P59" i="8"/>
  <c r="P58" i="8"/>
  <c r="O29" i="9"/>
  <c r="P54" i="8"/>
  <c r="P29" i="9" s="1"/>
  <c r="P52" i="8"/>
  <c r="P51" i="8"/>
  <c r="O28" i="9"/>
  <c r="P48" i="8"/>
  <c r="P28" i="9" s="1"/>
  <c r="O27" i="9"/>
  <c r="P46" i="8"/>
  <c r="P27" i="9" s="1"/>
  <c r="P44" i="8"/>
  <c r="P22" i="8"/>
  <c r="O11" i="9"/>
  <c r="P16" i="8"/>
  <c r="P11" i="9" s="1"/>
  <c r="O10" i="9"/>
  <c r="P15" i="8"/>
  <c r="P10" i="9" s="1"/>
  <c r="P13" i="8"/>
  <c r="O8" i="9"/>
  <c r="P12" i="8"/>
  <c r="N24" i="9"/>
  <c r="N30" i="9"/>
  <c r="N32" i="9"/>
  <c r="N23" i="9"/>
  <c r="N26" i="9"/>
  <c r="N22" i="9"/>
  <c r="N20" i="9"/>
  <c r="N14" i="9"/>
  <c r="N12" i="9"/>
  <c r="N15" i="9"/>
  <c r="N8" i="9"/>
  <c r="O7" i="9"/>
  <c r="N26" i="8"/>
  <c r="N71" i="8"/>
  <c r="M23" i="9"/>
  <c r="M19" i="9"/>
  <c r="M25" i="9"/>
  <c r="L14" i="9"/>
  <c r="L32" i="9"/>
  <c r="L25" i="9"/>
  <c r="L15" i="9"/>
  <c r="M15" i="9"/>
  <c r="M12" i="9"/>
  <c r="M27" i="9"/>
  <c r="M71" i="10"/>
  <c r="M14" i="9"/>
  <c r="M20" i="9"/>
  <c r="L12" i="9"/>
  <c r="L24" i="9"/>
  <c r="M24" i="9"/>
  <c r="M26" i="9"/>
  <c r="M7" i="9"/>
  <c r="M71" i="8"/>
  <c r="M8" i="9"/>
  <c r="M30" i="9"/>
  <c r="M32" i="9"/>
  <c r="M22" i="9"/>
  <c r="L22" i="9"/>
  <c r="L20" i="9"/>
  <c r="L23" i="9"/>
  <c r="N71" i="10"/>
  <c r="L7" i="9"/>
  <c r="L30" i="9"/>
  <c r="L26" i="9"/>
  <c r="N26" i="10"/>
  <c r="M26" i="8"/>
  <c r="K71" i="8"/>
  <c r="K73" i="8" s="1"/>
  <c r="M26" i="10"/>
  <c r="K17" i="9"/>
  <c r="K34" i="9"/>
  <c r="K36" i="9" s="1"/>
  <c r="L71" i="8"/>
  <c r="L26" i="10"/>
  <c r="L13" i="8"/>
  <c r="L71" i="10"/>
  <c r="J30" i="8"/>
  <c r="J31" i="8"/>
  <c r="J32" i="8"/>
  <c r="J21" i="9" s="1"/>
  <c r="J33" i="8"/>
  <c r="J34" i="8"/>
  <c r="J35" i="8"/>
  <c r="J36" i="8"/>
  <c r="J37" i="8"/>
  <c r="J38" i="8"/>
  <c r="J39" i="8"/>
  <c r="J40" i="8"/>
  <c r="J41" i="8"/>
  <c r="J42" i="8"/>
  <c r="J44" i="8"/>
  <c r="J46" i="8"/>
  <c r="J27" i="9" s="1"/>
  <c r="J47" i="8"/>
  <c r="J48" i="8"/>
  <c r="J28" i="9" s="1"/>
  <c r="J49" i="8"/>
  <c r="J50" i="8"/>
  <c r="J51" i="8"/>
  <c r="J52" i="8"/>
  <c r="J53" i="8"/>
  <c r="J54" i="8"/>
  <c r="J29" i="9" s="1"/>
  <c r="J55" i="8"/>
  <c r="J56" i="8"/>
  <c r="J57" i="8"/>
  <c r="J58" i="8"/>
  <c r="J59" i="8"/>
  <c r="J60" i="8"/>
  <c r="J61" i="8"/>
  <c r="J63" i="8"/>
  <c r="J64" i="8"/>
  <c r="J65" i="8"/>
  <c r="J67" i="8"/>
  <c r="J31" i="9" s="1"/>
  <c r="J68" i="8"/>
  <c r="J69" i="8"/>
  <c r="J70" i="8"/>
  <c r="J29" i="8"/>
  <c r="J19" i="9" s="1"/>
  <c r="J7" i="10"/>
  <c r="J7" i="8" s="1"/>
  <c r="J9" i="8"/>
  <c r="J10" i="10"/>
  <c r="J10" i="8" s="1"/>
  <c r="J11" i="10"/>
  <c r="J11" i="8" s="1"/>
  <c r="J12" i="8"/>
  <c r="J13" i="8"/>
  <c r="J14" i="8"/>
  <c r="J9" i="9" s="1"/>
  <c r="J15" i="8"/>
  <c r="J10" i="9" s="1"/>
  <c r="J16" i="8"/>
  <c r="J11" i="9" s="1"/>
  <c r="J17" i="10"/>
  <c r="J18" i="8"/>
  <c r="J19" i="8"/>
  <c r="J20" i="8"/>
  <c r="J21" i="10"/>
  <c r="J21" i="8" s="1"/>
  <c r="J22" i="8"/>
  <c r="J23" i="8"/>
  <c r="J24" i="8"/>
  <c r="J25" i="10"/>
  <c r="J25" i="8" s="1"/>
  <c r="J6" i="8"/>
  <c r="K70" i="10"/>
  <c r="K71" i="10" s="1"/>
  <c r="K25" i="10"/>
  <c r="K26" i="10" s="1"/>
  <c r="M63" i="7"/>
  <c r="M39" i="7"/>
  <c r="L39" i="7"/>
  <c r="M27" i="7"/>
  <c r="L27" i="7"/>
  <c r="M20" i="7"/>
  <c r="M11" i="7"/>
  <c r="L11" i="7"/>
  <c r="J39" i="7"/>
  <c r="J27" i="7"/>
  <c r="J11" i="7"/>
  <c r="P71" i="8" l="1"/>
  <c r="P32" i="9"/>
  <c r="P8" i="9"/>
  <c r="N17" i="9"/>
  <c r="P25" i="9"/>
  <c r="O25" i="9"/>
  <c r="P30" i="9"/>
  <c r="O30" i="9"/>
  <c r="P26" i="9"/>
  <c r="O71" i="8"/>
  <c r="O19" i="9"/>
  <c r="P23" i="8"/>
  <c r="P26" i="8" s="1"/>
  <c r="O14" i="9"/>
  <c r="O17" i="9" s="1"/>
  <c r="N34" i="9"/>
  <c r="N73" i="8"/>
  <c r="O26" i="8"/>
  <c r="M73" i="10"/>
  <c r="M73" i="8"/>
  <c r="M34" i="9"/>
  <c r="M17" i="9"/>
  <c r="N73" i="10"/>
  <c r="L26" i="8"/>
  <c r="L73" i="8" s="1"/>
  <c r="L8" i="9"/>
  <c r="L17" i="9" s="1"/>
  <c r="L34" i="9"/>
  <c r="L73" i="10"/>
  <c r="K73" i="10"/>
  <c r="J12" i="9"/>
  <c r="J23" i="9"/>
  <c r="J15" i="9"/>
  <c r="J32" i="9"/>
  <c r="J24" i="9"/>
  <c r="J22" i="9"/>
  <c r="J14" i="9"/>
  <c r="J8" i="9"/>
  <c r="J30" i="9"/>
  <c r="J25" i="9"/>
  <c r="J20" i="9"/>
  <c r="J26" i="9"/>
  <c r="J71" i="8"/>
  <c r="J71" i="10"/>
  <c r="I29" i="10"/>
  <c r="I70" i="10"/>
  <c r="I25" i="10"/>
  <c r="I26" i="10" s="1"/>
  <c r="N36" i="9" l="1"/>
  <c r="M36" i="9"/>
  <c r="O34" i="9"/>
  <c r="P14" i="9"/>
  <c r="P17" i="9" s="1"/>
  <c r="P34" i="9"/>
  <c r="P73" i="8"/>
  <c r="O73" i="8"/>
  <c r="O36" i="9"/>
  <c r="L36" i="9"/>
  <c r="J34" i="9"/>
  <c r="I71" i="10"/>
  <c r="I73" i="10" s="1"/>
  <c r="I70" i="8"/>
  <c r="I71" i="8" s="1"/>
  <c r="I19" i="9"/>
  <c r="I25" i="8"/>
  <c r="I26" i="8" s="1"/>
  <c r="I30" i="9"/>
  <c r="I29" i="9"/>
  <c r="I28" i="9"/>
  <c r="I27" i="9"/>
  <c r="I26" i="9"/>
  <c r="I25" i="9"/>
  <c r="I24" i="9"/>
  <c r="I23" i="9"/>
  <c r="I22" i="9"/>
  <c r="I21" i="9"/>
  <c r="I20" i="9"/>
  <c r="I14" i="9"/>
  <c r="I12" i="9"/>
  <c r="I11" i="9"/>
  <c r="I10" i="9"/>
  <c r="I9" i="9"/>
  <c r="I8" i="9"/>
  <c r="I7" i="9"/>
  <c r="F63" i="8"/>
  <c r="F60" i="8"/>
  <c r="F59" i="8"/>
  <c r="F16" i="8"/>
  <c r="P36" i="9" l="1"/>
  <c r="I32" i="9"/>
  <c r="I34" i="9" s="1"/>
  <c r="I73" i="8"/>
  <c r="I15" i="9"/>
  <c r="I17" i="9" s="1"/>
  <c r="I36" i="9" l="1"/>
  <c r="H50" i="8" l="1"/>
  <c r="H57" i="8"/>
  <c r="H11" i="8"/>
  <c r="H10" i="8"/>
  <c r="I67" i="7"/>
  <c r="C25" i="9"/>
  <c r="C67" i="10"/>
  <c r="C66" i="10"/>
  <c r="C24" i="10"/>
  <c r="C22" i="10"/>
  <c r="F44" i="7"/>
  <c r="F8" i="7"/>
  <c r="F6" i="7"/>
  <c r="D6" i="7"/>
  <c r="D11" i="7" s="1"/>
  <c r="C6" i="7"/>
  <c r="C11" i="7" s="1"/>
  <c r="D63" i="7"/>
  <c r="C63" i="7"/>
  <c r="D50" i="7"/>
  <c r="C50" i="7"/>
  <c r="D39" i="7"/>
  <c r="C39" i="7"/>
  <c r="D27" i="7"/>
  <c r="C27" i="7"/>
  <c r="D20" i="7"/>
  <c r="C20" i="7"/>
  <c r="F24" i="9" l="1"/>
  <c r="F26" i="9"/>
  <c r="J8" i="8" l="1"/>
  <c r="J26" i="10"/>
  <c r="J73" i="10" s="1"/>
  <c r="F20" i="9"/>
  <c r="F22" i="9"/>
  <c r="H6" i="8"/>
  <c r="H7" i="8"/>
  <c r="H8" i="8"/>
  <c r="H9" i="8"/>
  <c r="H12" i="8"/>
  <c r="H13" i="8"/>
  <c r="H14" i="8"/>
  <c r="H15" i="8"/>
  <c r="H16" i="8"/>
  <c r="H18" i="8"/>
  <c r="H19" i="8"/>
  <c r="H20" i="8"/>
  <c r="H21" i="8"/>
  <c r="H22" i="8"/>
  <c r="H23" i="8"/>
  <c r="H24" i="8"/>
  <c r="AZ71" i="10"/>
  <c r="BE26" i="10"/>
  <c r="BE71" i="10"/>
  <c r="J26" i="8" l="1"/>
  <c r="J73" i="8" s="1"/>
  <c r="J7" i="9"/>
  <c r="J17" i="9" s="1"/>
  <c r="J36" i="9" s="1"/>
  <c r="BE73" i="10"/>
  <c r="G11" i="7"/>
  <c r="C15" i="9"/>
  <c r="B15" i="9"/>
  <c r="C14" i="9"/>
  <c r="B14" i="9"/>
  <c r="C12" i="9"/>
  <c r="B12" i="9"/>
  <c r="C11" i="9"/>
  <c r="B11" i="9"/>
  <c r="C10" i="9"/>
  <c r="B10" i="9"/>
  <c r="C9" i="9"/>
  <c r="B9" i="9"/>
  <c r="C8" i="9"/>
  <c r="B8" i="9"/>
  <c r="C7" i="9"/>
  <c r="B7" i="9"/>
  <c r="B71" i="8"/>
  <c r="C71" i="8"/>
  <c r="C26" i="8"/>
  <c r="B26" i="8"/>
  <c r="G39" i="7"/>
  <c r="F11" i="7"/>
  <c r="S50" i="7" l="1"/>
  <c r="S65" i="7" s="1"/>
  <c r="S69" i="7" s="1"/>
  <c r="R49" i="7"/>
  <c r="R50" i="7" s="1"/>
  <c r="R65" i="7" s="1"/>
  <c r="R69" i="7" s="1"/>
  <c r="I61" i="7"/>
  <c r="O63" i="7"/>
  <c r="C73" i="8"/>
  <c r="B73" i="8"/>
  <c r="F26" i="8"/>
  <c r="D65" i="7"/>
  <c r="C65" i="7"/>
  <c r="Y71" i="10"/>
  <c r="Y73" i="10" l="1"/>
  <c r="I10" i="7" s="1"/>
  <c r="F71" i="10"/>
  <c r="F71" i="8"/>
  <c r="X26" i="10"/>
  <c r="X71" i="10"/>
  <c r="F73" i="8" l="1"/>
  <c r="X73" i="10"/>
  <c r="F30" i="9" l="1"/>
  <c r="H61" i="8"/>
  <c r="H37" i="8" l="1"/>
  <c r="H29" i="8"/>
  <c r="H48" i="8"/>
  <c r="AE26" i="10"/>
  <c r="AE71" i="10"/>
  <c r="U26" i="10"/>
  <c r="F26" i="10"/>
  <c r="F73" i="10" s="1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E71" i="8"/>
  <c r="E26" i="8"/>
  <c r="E71" i="10"/>
  <c r="E26" i="10"/>
  <c r="C71" i="10"/>
  <c r="C26" i="10"/>
  <c r="B71" i="10"/>
  <c r="B26" i="10"/>
  <c r="F27" i="7"/>
  <c r="G27" i="7"/>
  <c r="BF71" i="10"/>
  <c r="BD71" i="10"/>
  <c r="BC71" i="10"/>
  <c r="BB71" i="10"/>
  <c r="BA71" i="10"/>
  <c r="AY71" i="10"/>
  <c r="AX71" i="10"/>
  <c r="AW71" i="10"/>
  <c r="AV71" i="10"/>
  <c r="AU71" i="10"/>
  <c r="AT71" i="10"/>
  <c r="AS71" i="10"/>
  <c r="AR71" i="10"/>
  <c r="AQ71" i="10"/>
  <c r="AP71" i="10"/>
  <c r="AO71" i="10"/>
  <c r="AM71" i="10"/>
  <c r="AL71" i="10"/>
  <c r="AJ71" i="10"/>
  <c r="AI71" i="10"/>
  <c r="AH71" i="10"/>
  <c r="AG71" i="10"/>
  <c r="AF71" i="10"/>
  <c r="AD71" i="10"/>
  <c r="AC71" i="10"/>
  <c r="AB71" i="10"/>
  <c r="AA71" i="10"/>
  <c r="Z71" i="10"/>
  <c r="V71" i="10"/>
  <c r="H70" i="8"/>
  <c r="H69" i="8"/>
  <c r="H68" i="8"/>
  <c r="H67" i="8"/>
  <c r="H65" i="8"/>
  <c r="H64" i="8"/>
  <c r="H63" i="8"/>
  <c r="H60" i="8"/>
  <c r="H59" i="8"/>
  <c r="H58" i="8"/>
  <c r="H56" i="8"/>
  <c r="W71" i="10"/>
  <c r="H54" i="8"/>
  <c r="H53" i="8"/>
  <c r="H52" i="8"/>
  <c r="H51" i="8"/>
  <c r="H49" i="8"/>
  <c r="H47" i="8"/>
  <c r="H46" i="8"/>
  <c r="H44" i="8"/>
  <c r="H42" i="8"/>
  <c r="H41" i="8"/>
  <c r="H40" i="8"/>
  <c r="H38" i="8"/>
  <c r="H36" i="8"/>
  <c r="H35" i="8"/>
  <c r="H34" i="8"/>
  <c r="H33" i="8"/>
  <c r="H32" i="8"/>
  <c r="H31" i="8"/>
  <c r="H30" i="8"/>
  <c r="BF26" i="10"/>
  <c r="BD26" i="10"/>
  <c r="BC26" i="10"/>
  <c r="BB26" i="10"/>
  <c r="BA26" i="10"/>
  <c r="AZ26" i="10"/>
  <c r="AY26" i="10"/>
  <c r="AX26" i="10"/>
  <c r="AW26" i="10"/>
  <c r="AV26" i="10"/>
  <c r="AU26" i="10"/>
  <c r="AT26" i="10"/>
  <c r="AS26" i="10"/>
  <c r="AR26" i="10"/>
  <c r="AQ26" i="10"/>
  <c r="AP26" i="10"/>
  <c r="AO26" i="10"/>
  <c r="AM26" i="10"/>
  <c r="AL26" i="10"/>
  <c r="AK26" i="10"/>
  <c r="AJ26" i="10"/>
  <c r="AI26" i="10"/>
  <c r="AH26" i="10"/>
  <c r="AG26" i="10"/>
  <c r="AF26" i="10"/>
  <c r="AD26" i="10"/>
  <c r="AC26" i="10"/>
  <c r="AB26" i="10"/>
  <c r="AA26" i="10"/>
  <c r="Z26" i="10"/>
  <c r="W26" i="10"/>
  <c r="V26" i="10"/>
  <c r="H25" i="8"/>
  <c r="H26" i="8" s="1"/>
  <c r="G63" i="7"/>
  <c r="F63" i="7"/>
  <c r="G50" i="7"/>
  <c r="F50" i="7"/>
  <c r="F39" i="7"/>
  <c r="F20" i="7"/>
  <c r="BF73" i="10" l="1"/>
  <c r="C73" i="10"/>
  <c r="E73" i="8"/>
  <c r="E73" i="10"/>
  <c r="D69" i="7"/>
  <c r="B34" i="9"/>
  <c r="B17" i="9"/>
  <c r="B73" i="10"/>
  <c r="AZ73" i="10"/>
  <c r="I56" i="7" s="1"/>
  <c r="H39" i="8"/>
  <c r="AE73" i="10"/>
  <c r="I19" i="7" s="1"/>
  <c r="H26" i="10"/>
  <c r="G20" i="7"/>
  <c r="G65" i="7" s="1"/>
  <c r="G69" i="7" s="1"/>
  <c r="C69" i="7"/>
  <c r="AT73" i="10"/>
  <c r="I45" i="7" s="1"/>
  <c r="H55" i="8"/>
  <c r="AJ73" i="10"/>
  <c r="AR73" i="10"/>
  <c r="I43" i="7" s="1"/>
  <c r="U73" i="10"/>
  <c r="AW73" i="10"/>
  <c r="I53" i="7" s="1"/>
  <c r="AC73" i="10"/>
  <c r="I17" i="7" s="1"/>
  <c r="BB73" i="10"/>
  <c r="AA73" i="10"/>
  <c r="I15" i="7" s="1"/>
  <c r="Z73" i="10"/>
  <c r="I14" i="7" s="1"/>
  <c r="AI73" i="10"/>
  <c r="AQ73" i="10"/>
  <c r="AY73" i="10"/>
  <c r="AF73" i="10"/>
  <c r="AO73" i="10"/>
  <c r="I36" i="7" s="1"/>
  <c r="AV73" i="10"/>
  <c r="BD73" i="10"/>
  <c r="I60" i="7" s="1"/>
  <c r="W73" i="10"/>
  <c r="V73" i="10"/>
  <c r="AG73" i="10"/>
  <c r="AP73" i="10"/>
  <c r="AL73" i="10"/>
  <c r="I33" i="7" s="1"/>
  <c r="AH73" i="10"/>
  <c r="AX73" i="10"/>
  <c r="AB73" i="10"/>
  <c r="I16" i="7" s="1"/>
  <c r="AK73" i="10"/>
  <c r="I32" i="7" s="1"/>
  <c r="AS73" i="10"/>
  <c r="I44" i="7" s="1"/>
  <c r="BA73" i="10"/>
  <c r="I57" i="7" s="1"/>
  <c r="AD73" i="10"/>
  <c r="I18" i="7" s="1"/>
  <c r="AM73" i="10"/>
  <c r="AU73" i="10"/>
  <c r="I46" i="7" s="1"/>
  <c r="BC73" i="10"/>
  <c r="I59" i="7" s="1"/>
  <c r="F65" i="7"/>
  <c r="F69" i="7" s="1"/>
  <c r="I8" i="7" l="1"/>
  <c r="I7" i="7"/>
  <c r="U11" i="7"/>
  <c r="U65" i="7" s="1"/>
  <c r="U69" i="7" s="1"/>
  <c r="O49" i="7"/>
  <c r="O50" i="7" s="1"/>
  <c r="O65" i="7" s="1"/>
  <c r="O69" i="7" s="1"/>
  <c r="P46" i="7"/>
  <c r="P50" i="7" s="1"/>
  <c r="P65" i="7" s="1"/>
  <c r="P69" i="7" s="1"/>
  <c r="I58" i="7"/>
  <c r="J57" i="7"/>
  <c r="L55" i="7"/>
  <c r="L63" i="7" s="1"/>
  <c r="I49" i="7"/>
  <c r="I50" i="7" s="1"/>
  <c r="J46" i="7"/>
  <c r="J50" i="7" s="1"/>
  <c r="J53" i="7"/>
  <c r="J63" i="7" s="1"/>
  <c r="I55" i="7"/>
  <c r="M46" i="7"/>
  <c r="M50" i="7" s="1"/>
  <c r="M65" i="7" s="1"/>
  <c r="M69" i="7" s="1"/>
  <c r="L49" i="7"/>
  <c r="I27" i="7"/>
  <c r="J20" i="7"/>
  <c r="L20" i="7"/>
  <c r="I20" i="7"/>
  <c r="H71" i="8"/>
  <c r="H73" i="8" s="1"/>
  <c r="I39" i="7"/>
  <c r="B36" i="9"/>
  <c r="H71" i="10"/>
  <c r="H73" i="10" s="1"/>
  <c r="E22" i="9"/>
  <c r="E19" i="9"/>
  <c r="E20" i="9"/>
  <c r="E21" i="9"/>
  <c r="E23" i="9"/>
  <c r="E24" i="9"/>
  <c r="E25" i="9"/>
  <c r="E26" i="9"/>
  <c r="E27" i="9"/>
  <c r="E28" i="9"/>
  <c r="E29" i="9"/>
  <c r="E30" i="9"/>
  <c r="E31" i="9"/>
  <c r="E32" i="9"/>
  <c r="E7" i="9"/>
  <c r="E8" i="9"/>
  <c r="E9" i="9"/>
  <c r="E10" i="9"/>
  <c r="E11" i="9"/>
  <c r="E12" i="9"/>
  <c r="E14" i="9"/>
  <c r="E15" i="9"/>
  <c r="F8" i="9"/>
  <c r="F9" i="9"/>
  <c r="F10" i="9"/>
  <c r="F11" i="9"/>
  <c r="F12" i="9"/>
  <c r="F14" i="9"/>
  <c r="F15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7" i="9"/>
  <c r="H8" i="9"/>
  <c r="H9" i="9"/>
  <c r="H10" i="9"/>
  <c r="H11" i="9"/>
  <c r="H12" i="9"/>
  <c r="H14" i="9"/>
  <c r="H15" i="9"/>
  <c r="F31" i="9"/>
  <c r="F29" i="9"/>
  <c r="F28" i="9"/>
  <c r="F27" i="9"/>
  <c r="F21" i="9"/>
  <c r="F19" i="9"/>
  <c r="F32" i="9"/>
  <c r="F25" i="9"/>
  <c r="F23" i="9"/>
  <c r="F7" i="9"/>
  <c r="C34" i="9"/>
  <c r="C17" i="9"/>
  <c r="I11" i="7" l="1"/>
  <c r="I63" i="7"/>
  <c r="J65" i="7"/>
  <c r="J69" i="7" s="1"/>
  <c r="L50" i="7"/>
  <c r="L65" i="7" s="1"/>
  <c r="L69" i="7" s="1"/>
  <c r="E17" i="9"/>
  <c r="E34" i="9"/>
  <c r="H17" i="9"/>
  <c r="H34" i="9"/>
  <c r="F34" i="9"/>
  <c r="F17" i="9"/>
  <c r="C36" i="9"/>
  <c r="I65" i="7" l="1"/>
  <c r="I69" i="7" s="1"/>
  <c r="E36" i="9"/>
  <c r="H36" i="9"/>
  <c r="F3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StBf</author>
  </authors>
  <commentList>
    <comment ref="U12" authorId="0" shapeId="0" xr:uid="{03147063-2289-4D07-BB21-CE00EAC3063E}">
      <text>
        <r>
          <rPr>
            <b/>
            <sz val="9"/>
            <color indexed="81"/>
            <rFont val="Tahoma"/>
            <charset val="1"/>
          </rPr>
          <t>Kolla ver 67och 75</t>
        </r>
      </text>
    </comment>
    <comment ref="U22" authorId="0" shapeId="0" xr:uid="{D5B58418-549E-4E0F-AB35-568559A2CA05}">
      <text>
        <r>
          <rPr>
            <b/>
            <sz val="9"/>
            <color indexed="81"/>
            <rFont val="Tahoma"/>
            <charset val="1"/>
          </rPr>
          <t>StBf:</t>
        </r>
        <r>
          <rPr>
            <sz val="9"/>
            <color indexed="81"/>
            <rFont val="Tahoma"/>
            <charset val="1"/>
          </rPr>
          <t xml:space="preserve">
Kolla ver 74</t>
        </r>
      </text>
    </comment>
    <comment ref="U28" authorId="0" shapeId="0" xr:uid="{D7F3CB07-9306-43F2-868F-2EF09B0B5CFC}">
      <text>
        <r>
          <rPr>
            <b/>
            <sz val="9"/>
            <color indexed="81"/>
            <rFont val="Tahoma"/>
            <charset val="1"/>
          </rPr>
          <t>StBf:</t>
        </r>
        <r>
          <rPr>
            <sz val="9"/>
            <color indexed="81"/>
            <rFont val="Tahoma"/>
            <charset val="1"/>
          </rPr>
          <t xml:space="preserve">
Kolla ver 106</t>
        </r>
      </text>
    </comment>
    <comment ref="AI31" authorId="0" shapeId="0" xr:uid="{89EFF254-44B2-4CBD-B3B1-FEE392A4EC12}">
      <text>
        <r>
          <rPr>
            <b/>
            <sz val="9"/>
            <color indexed="81"/>
            <rFont val="Tahoma"/>
            <charset val="1"/>
          </rPr>
          <t>Presentkort från SVBF starter i  individuella SM</t>
        </r>
      </text>
    </comment>
    <comment ref="U43" authorId="0" shapeId="0" xr:uid="{998C265A-9AE8-481C-B52E-8CADDE3D2C62}">
      <text>
        <r>
          <rPr>
            <b/>
            <sz val="9"/>
            <color indexed="81"/>
            <rFont val="Tahoma"/>
            <family val="2"/>
          </rPr>
          <t xml:space="preserve">Ny skrivare till Rolf
</t>
        </r>
      </text>
    </comment>
    <comment ref="W48" authorId="0" shapeId="0" xr:uid="{2B44960E-B071-4A4B-8FE1-9E61245EB6B6}">
      <text>
        <r>
          <rPr>
            <b/>
            <sz val="9"/>
            <color indexed="81"/>
            <rFont val="Tahoma"/>
            <family val="2"/>
          </rPr>
          <t>Styrelsemöten och julbord</t>
        </r>
      </text>
    </comment>
  </commentList>
</comments>
</file>

<file path=xl/sharedStrings.xml><?xml version="1.0" encoding="utf-8"?>
<sst xmlns="http://schemas.openxmlformats.org/spreadsheetml/2006/main" count="459" uniqueCount="230">
  <si>
    <t xml:space="preserve">    Utfall</t>
  </si>
  <si>
    <t>Administration</t>
  </si>
  <si>
    <t>Allmänt</t>
  </si>
  <si>
    <t>Årsmöte</t>
  </si>
  <si>
    <t>Mix-DM</t>
  </si>
  <si>
    <t>Totalt</t>
  </si>
  <si>
    <t>Junior</t>
  </si>
  <si>
    <t>3-manna-DM</t>
  </si>
  <si>
    <t>Seriefig</t>
  </si>
  <si>
    <t>Utbildning</t>
  </si>
  <si>
    <t>Finansiella poster</t>
  </si>
  <si>
    <t>RESULTAT - BUDGET</t>
  </si>
  <si>
    <t xml:space="preserve">    Budget</t>
  </si>
  <si>
    <t>Distriktstränare</t>
  </si>
  <si>
    <t xml:space="preserve"> </t>
  </si>
  <si>
    <t>Resultat - Budget</t>
  </si>
  <si>
    <t>3011 Serie 8-m</t>
  </si>
  <si>
    <t>3013 Serie 4-m</t>
  </si>
  <si>
    <t>3014 Bossandel</t>
  </si>
  <si>
    <t>3015 För.avgift</t>
  </si>
  <si>
    <t>3091 Tävl.tillst</t>
  </si>
  <si>
    <t>4290 Övr seriekostn</t>
  </si>
  <si>
    <t>4490 Övr dir kostn</t>
  </si>
  <si>
    <t>5800 Resekostn</t>
  </si>
  <si>
    <t>6210 Kommunikation</t>
  </si>
  <si>
    <t>6310 Försäkring</t>
  </si>
  <si>
    <t>6390 Övr kostn</t>
  </si>
  <si>
    <t>6420 Revision</t>
  </si>
  <si>
    <t>6570 Bankkostn</t>
  </si>
  <si>
    <t>Styrelsen</t>
  </si>
  <si>
    <t>Budget</t>
  </si>
  <si>
    <t>Summa intäkter</t>
  </si>
  <si>
    <t>Summa kostnader</t>
  </si>
  <si>
    <t>Stockholms Bowlingförbund</t>
  </si>
  <si>
    <t>Stockholm Bowlingförbund</t>
  </si>
  <si>
    <t>Stockholmsligan</t>
  </si>
  <si>
    <t>Marknad</t>
  </si>
  <si>
    <t>-</t>
  </si>
  <si>
    <t>3001 Rikslic B</t>
  </si>
  <si>
    <t>3004 Distrlic Sen</t>
  </si>
  <si>
    <t>3005 Distrlic ung/jun</t>
  </si>
  <si>
    <t>3987 Bidr SIF / RF</t>
  </si>
  <si>
    <t>3988 Bidr SvBF</t>
  </si>
  <si>
    <t>Poolspelet</t>
  </si>
  <si>
    <t>Marknadskommittén</t>
  </si>
  <si>
    <t>Juniorkommittén</t>
  </si>
  <si>
    <t>Junior League</t>
  </si>
  <si>
    <t>Junior GP-touren</t>
  </si>
  <si>
    <t>Junior-DM</t>
  </si>
  <si>
    <t>Serie/Tävling</t>
  </si>
  <si>
    <t>Serie/Tävl.kommittén</t>
  </si>
  <si>
    <t>Individuella DM</t>
  </si>
  <si>
    <t>Huvudstadsmatch</t>
  </si>
  <si>
    <t>Utbildningskommittén</t>
  </si>
  <si>
    <t>Utbildning steg 1</t>
  </si>
  <si>
    <t>Utbildning steg 2</t>
  </si>
  <si>
    <t>Rekryteringsprojekt</t>
  </si>
  <si>
    <t>Rörelseres. inkl stip.fond</t>
  </si>
  <si>
    <t>3110 Tävlingsint.</t>
  </si>
  <si>
    <t>3120 Utb.ink</t>
  </si>
  <si>
    <t>3130 Träning</t>
  </si>
  <si>
    <t>3989 Övr.bidr</t>
  </si>
  <si>
    <t>4201 Banhyra</t>
  </si>
  <si>
    <t>4202 Arvoden</t>
  </si>
  <si>
    <t>4203 Priser</t>
  </si>
  <si>
    <t>4204 Blommor</t>
  </si>
  <si>
    <t>4205 Medaljer</t>
  </si>
  <si>
    <t>4209 Tävl.kostn</t>
  </si>
  <si>
    <t>4301 Träning/läger</t>
  </si>
  <si>
    <t>4303 Ledarkostn.</t>
  </si>
  <si>
    <t>4400 Utb. Kostn</t>
  </si>
  <si>
    <t>4450 Matr.</t>
  </si>
  <si>
    <t>5910 Marknf.kostn</t>
  </si>
  <si>
    <t>6090 Förtäring</t>
  </si>
  <si>
    <t>6250 Porto</t>
  </si>
  <si>
    <t>Arvoden</t>
  </si>
  <si>
    <t>5010 Lokalhyra</t>
  </si>
  <si>
    <t>5020 el hyrd lokal</t>
  </si>
  <si>
    <t>5420 Programv.</t>
  </si>
  <si>
    <t>6110 Kontorsmat.</t>
  </si>
  <si>
    <t>7010 Löner</t>
  </si>
  <si>
    <t>7030 Semers</t>
  </si>
  <si>
    <t>7510 Arbg.avg</t>
  </si>
  <si>
    <t>7580 TGL försäkr.</t>
  </si>
  <si>
    <t>Bokslutsposter</t>
  </si>
  <si>
    <t>7570 Fora</t>
  </si>
  <si>
    <t>Licenser</t>
  </si>
  <si>
    <t>Övrigt</t>
  </si>
  <si>
    <t>Bidrag</t>
  </si>
  <si>
    <t>Tävlingskostnader</t>
  </si>
  <si>
    <t>Lokalhyra</t>
  </si>
  <si>
    <t>Kontorsomkostnader</t>
  </si>
  <si>
    <t>Resekostnader</t>
  </si>
  <si>
    <t>Förtäring</t>
  </si>
  <si>
    <t>Materialkostnader</t>
  </si>
  <si>
    <t>Personalkostnader</t>
  </si>
  <si>
    <t>Ränta</t>
  </si>
  <si>
    <t>Fonder</t>
  </si>
  <si>
    <t>BOSS-intäkter</t>
  </si>
  <si>
    <t>Tävlingstillstånd</t>
  </si>
  <si>
    <t>Föreningsavgifter</t>
  </si>
  <si>
    <t>Anmälningsavgifter</t>
  </si>
  <si>
    <t>Banhyror</t>
  </si>
  <si>
    <t>Blommor</t>
  </si>
  <si>
    <t>Kommunikationsprojekt</t>
  </si>
  <si>
    <t>6410 Arvoden</t>
  </si>
  <si>
    <t>8300 Ränta</t>
  </si>
  <si>
    <t>Träningskostnader</t>
  </si>
  <si>
    <t>8819 Utv.fond</t>
  </si>
  <si>
    <t>8820 Utdeln.</t>
  </si>
  <si>
    <t>8811 Fondavsättn.</t>
  </si>
  <si>
    <t>3999 Övrigt-Faktavg</t>
  </si>
  <si>
    <t xml:space="preserve">Budget </t>
  </si>
  <si>
    <t>Jubiléum</t>
  </si>
  <si>
    <t>Team Stockholm</t>
  </si>
  <si>
    <t>UPP-slaget</t>
  </si>
  <si>
    <t>Vuxenträning</t>
  </si>
  <si>
    <t>Rekryteringsåtgärder</t>
  </si>
  <si>
    <t>8819 Utdeln.</t>
  </si>
  <si>
    <t>8820 Utv.fond</t>
  </si>
  <si>
    <t>TOTALT</t>
  </si>
  <si>
    <t>1002 Årsmöte</t>
  </si>
  <si>
    <t>1003 Styrelsen</t>
  </si>
  <si>
    <t>1004 Jubiléum</t>
  </si>
  <si>
    <t>2001 HKP</t>
  </si>
  <si>
    <t>2004 HKP-DM</t>
  </si>
  <si>
    <t>2005 HKP Mix-DM</t>
  </si>
  <si>
    <t>2006 Poolspelet</t>
  </si>
  <si>
    <t>2007 HKP High 5</t>
  </si>
  <si>
    <t>3001 MK</t>
  </si>
  <si>
    <t>3002 Rekrytering</t>
  </si>
  <si>
    <t>4001 JK</t>
  </si>
  <si>
    <t>4002 Team Stockholm</t>
  </si>
  <si>
    <t>4004 Junior League</t>
  </si>
  <si>
    <t>4005 GP-touren</t>
  </si>
  <si>
    <t>4008 Junior-DM</t>
  </si>
  <si>
    <t>5001 STK</t>
  </si>
  <si>
    <t>5002 DM</t>
  </si>
  <si>
    <t>5003 3-manna DM</t>
  </si>
  <si>
    <t>5004 Mix-DM</t>
  </si>
  <si>
    <t>5010 Egna tävlingar</t>
  </si>
  <si>
    <t>5006 Tidsättning</t>
  </si>
  <si>
    <t>6001 UK</t>
  </si>
  <si>
    <t>6011 Steg 1</t>
  </si>
  <si>
    <t>6012 Steg 2</t>
  </si>
  <si>
    <t>6013 Steg 3+4</t>
  </si>
  <si>
    <t>6014 Tränarboostar</t>
  </si>
  <si>
    <t>6015 Vuxenträning</t>
  </si>
  <si>
    <t>6018 Rekryteringsåtgärder</t>
  </si>
  <si>
    <t>2017/2018</t>
  </si>
  <si>
    <t>Skol-DM</t>
  </si>
  <si>
    <t>Budget 17/18</t>
  </si>
  <si>
    <t>Parabowling</t>
  </si>
  <si>
    <t>Parabowlingkommittén</t>
  </si>
  <si>
    <t>Parabowling-DM</t>
  </si>
  <si>
    <t>High 5</t>
  </si>
  <si>
    <t>ParaMix-DM</t>
  </si>
  <si>
    <t>Utbildning Para</t>
  </si>
  <si>
    <t>Tidsättning</t>
  </si>
  <si>
    <t>Egna tävlingar</t>
  </si>
  <si>
    <t>Tränarbooster</t>
  </si>
  <si>
    <t>Utb. s3+4/Subv. träutb</t>
  </si>
  <si>
    <t>2008 Utbildning Para</t>
  </si>
  <si>
    <t>7462 Pensioner</t>
  </si>
  <si>
    <t>Föreningskonferens</t>
  </si>
  <si>
    <t>1005 Föreningskonferens</t>
  </si>
  <si>
    <t>2018/2019</t>
  </si>
  <si>
    <t>Budget 18/19</t>
  </si>
  <si>
    <t>3000 Licens Sen</t>
  </si>
  <si>
    <t>3002 Licens Jun</t>
  </si>
  <si>
    <t>3003 Licens Ung</t>
  </si>
  <si>
    <t>3950 Försäljn. Mat</t>
  </si>
  <si>
    <t>6017 Distriktstränare</t>
  </si>
  <si>
    <t>6150 Trycksaker</t>
  </si>
  <si>
    <t>6550 Konsulter</t>
  </si>
  <si>
    <t>Utfall 30/4</t>
  </si>
  <si>
    <t>5020 El hyrd lokal</t>
  </si>
  <si>
    <t>2019/2020</t>
  </si>
  <si>
    <t>Budget 19/20</t>
  </si>
  <si>
    <t>Utfall 30/4-19</t>
  </si>
  <si>
    <t>4010 Licensavg SvBF</t>
  </si>
  <si>
    <t>Utfall 19/20</t>
  </si>
  <si>
    <t xml:space="preserve">     Utfall</t>
  </si>
  <si>
    <t xml:space="preserve">        Utfall</t>
  </si>
  <si>
    <t>.</t>
  </si>
  <si>
    <t>2020/2021</t>
  </si>
  <si>
    <t>Budget 20/21</t>
  </si>
  <si>
    <t>Utfall 20/21</t>
  </si>
  <si>
    <t>Utfall 17/18</t>
  </si>
  <si>
    <t>Utfall 18/19</t>
  </si>
  <si>
    <t>Distr. Ungdom-match</t>
  </si>
  <si>
    <t>Utfall netto resultat per avdelning</t>
  </si>
  <si>
    <t>1001 Allmänt - Kansliet</t>
  </si>
  <si>
    <t>Budget 21/22</t>
  </si>
  <si>
    <t>4010 Team Talang, TSYA</t>
  </si>
  <si>
    <t>3004 Skol-Projekt</t>
  </si>
  <si>
    <t>2021/2022</t>
  </si>
  <si>
    <t>3094 Straffavgift</t>
  </si>
  <si>
    <t>5710 Frakt &amp; Transport</t>
  </si>
  <si>
    <t>3094 Straffavgift serieanmälan</t>
  </si>
  <si>
    <t>5710 Frakt &amp; Trsp</t>
  </si>
  <si>
    <t>Utfall 21/22</t>
  </si>
  <si>
    <t>Budget 22/23</t>
  </si>
  <si>
    <t>5410 Förbrukningsinventarier</t>
  </si>
  <si>
    <t>7490 Övr. pensionskostnad</t>
  </si>
  <si>
    <t>5410 Förbr.invent.</t>
  </si>
  <si>
    <t>7490 Övr. pensioner</t>
  </si>
  <si>
    <t>2022/2023</t>
  </si>
  <si>
    <t>Budget 23/24</t>
  </si>
  <si>
    <t>2023/2024</t>
  </si>
  <si>
    <t>Utfall 22/23</t>
  </si>
  <si>
    <t>4009 Distrik/stadsmatch</t>
  </si>
  <si>
    <t>Distriktskamp - Q&amp;K</t>
  </si>
  <si>
    <t>5800 Resekostn &amp; Logi</t>
  </si>
  <si>
    <t>Utfall 23/24</t>
  </si>
  <si>
    <t>Budget 24/25</t>
  </si>
  <si>
    <t>2024/2025</t>
  </si>
  <si>
    <t>6009 Summer Camp</t>
  </si>
  <si>
    <t>6010 Sportlovs Camp</t>
  </si>
  <si>
    <t>4015 Distriktsmatch - Queens &amp; Kings</t>
  </si>
  <si>
    <t>Resultat 23/24</t>
  </si>
  <si>
    <t>Summer Camp</t>
  </si>
  <si>
    <t>Sportlovs Camp</t>
  </si>
  <si>
    <t>4015 Distriktsmatch + Queens &amp; Kings</t>
  </si>
  <si>
    <t>Utfall 24/25</t>
  </si>
  <si>
    <t>Budget 25/26</t>
  </si>
  <si>
    <t>4009 Rising - Future strikers</t>
  </si>
  <si>
    <t>6011 Steg 1 - TUG</t>
  </si>
  <si>
    <t>2025/2026</t>
  </si>
  <si>
    <t>Team Talang - TSYA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</si>
</sst>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name val="Arial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b/>
      <i/>
      <sz val="8"/>
      <color rgb="FFFF000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i/>
      <sz val="12"/>
      <name val="Arial"/>
      <family val="2"/>
    </font>
    <font>
      <strike/>
      <sz val="8"/>
      <name val="Arial"/>
      <family val="2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u/>
      <sz val="12"/>
      <color rgb="FFFF000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0" fontId="27" fillId="0" borderId="0"/>
  </cellStyleXfs>
  <cellXfs count="1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0" xfId="0" applyFont="1"/>
    <xf numFmtId="14" fontId="3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" fillId="0" borderId="0" xfId="0" applyFont="1"/>
    <xf numFmtId="0" fontId="11" fillId="0" borderId="0" xfId="0" applyFont="1"/>
    <xf numFmtId="0" fontId="13" fillId="0" borderId="0" xfId="0" applyFont="1"/>
    <xf numFmtId="0" fontId="12" fillId="0" borderId="0" xfId="0" applyFont="1"/>
    <xf numFmtId="0" fontId="14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1" fontId="9" fillId="0" borderId="0" xfId="1" applyNumberFormat="1" applyFont="1" applyFill="1" applyAlignment="1">
      <alignment horizontal="right" wrapText="1"/>
    </xf>
    <xf numFmtId="0" fontId="9" fillId="0" borderId="0" xfId="0" applyFont="1" applyAlignment="1">
      <alignment horizontal="right" wrapText="1"/>
    </xf>
    <xf numFmtId="1" fontId="3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16" fontId="2" fillId="0" borderId="0" xfId="0" applyNumberFormat="1" applyFont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1" xfId="0" applyFont="1" applyFill="1" applyBorder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0" borderId="0" xfId="0" applyFont="1" applyFill="1"/>
    <xf numFmtId="0" fontId="3" fillId="11" borderId="0" xfId="0" applyFont="1" applyFill="1"/>
    <xf numFmtId="0" fontId="3" fillId="12" borderId="0" xfId="0" applyFont="1" applyFill="1"/>
    <xf numFmtId="0" fontId="3" fillId="12" borderId="1" xfId="0" applyFont="1" applyFill="1" applyBorder="1"/>
    <xf numFmtId="0" fontId="3" fillId="9" borderId="0" xfId="0" applyFont="1" applyFill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right"/>
    </xf>
    <xf numFmtId="0" fontId="21" fillId="0" borderId="0" xfId="0" applyFont="1"/>
    <xf numFmtId="1" fontId="11" fillId="0" borderId="0" xfId="0" applyNumberFormat="1" applyFont="1"/>
    <xf numFmtId="1" fontId="11" fillId="0" borderId="1" xfId="0" applyNumberFormat="1" applyFont="1" applyBorder="1"/>
    <xf numFmtId="0" fontId="21" fillId="0" borderId="0" xfId="0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14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1" fontId="3" fillId="0" borderId="0" xfId="0" applyNumberFormat="1" applyFont="1"/>
    <xf numFmtId="0" fontId="22" fillId="0" borderId="0" xfId="0" applyFont="1"/>
    <xf numFmtId="0" fontId="17" fillId="0" borderId="0" xfId="0" applyFont="1"/>
    <xf numFmtId="0" fontId="2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3" fontId="5" fillId="0" borderId="0" xfId="0" applyNumberFormat="1" applyFont="1"/>
    <xf numFmtId="0" fontId="2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7" fillId="0" borderId="0" xfId="0" applyNumberFormat="1" applyFont="1"/>
    <xf numFmtId="3" fontId="25" fillId="0" borderId="0" xfId="0" applyNumberFormat="1" applyFont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9" xfId="0" applyFont="1" applyBorder="1"/>
    <xf numFmtId="0" fontId="1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11" fillId="0" borderId="0" xfId="0" applyNumberFormat="1" applyFont="1"/>
    <xf numFmtId="3" fontId="11" fillId="0" borderId="1" xfId="0" applyNumberFormat="1" applyFont="1" applyBorder="1"/>
    <xf numFmtId="3" fontId="20" fillId="0" borderId="0" xfId="0" applyNumberFormat="1" applyFont="1"/>
    <xf numFmtId="3" fontId="18" fillId="0" borderId="0" xfId="0" applyNumberFormat="1" applyFont="1"/>
    <xf numFmtId="0" fontId="11" fillId="0" borderId="1" xfId="0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16" fontId="2" fillId="0" borderId="0" xfId="0" applyNumberFormat="1" applyFont="1" applyAlignment="1">
      <alignment horizontal="right"/>
    </xf>
    <xf numFmtId="0" fontId="4" fillId="0" borderId="0" xfId="0" applyFont="1"/>
    <xf numFmtId="0" fontId="28" fillId="0" borderId="0" xfId="0" applyFont="1"/>
    <xf numFmtId="0" fontId="29" fillId="0" borderId="0" xfId="0" applyFont="1"/>
    <xf numFmtId="0" fontId="3" fillId="3" borderId="4" xfId="0" applyFont="1" applyFill="1" applyBorder="1" applyAlignment="1">
      <alignment textRotation="45"/>
    </xf>
    <xf numFmtId="3" fontId="2" fillId="0" borderId="6" xfId="0" applyNumberFormat="1" applyFont="1" applyBorder="1"/>
    <xf numFmtId="3" fontId="2" fillId="0" borderId="5" xfId="0" applyNumberFormat="1" applyFont="1" applyBorder="1"/>
    <xf numFmtId="3" fontId="3" fillId="0" borderId="3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0" fontId="3" fillId="13" borderId="4" xfId="0" applyFont="1" applyFill="1" applyBorder="1" applyAlignment="1">
      <alignment textRotation="45"/>
    </xf>
    <xf numFmtId="0" fontId="3" fillId="5" borderId="4" xfId="0" applyFont="1" applyFill="1" applyBorder="1" applyAlignment="1">
      <alignment textRotation="45"/>
    </xf>
    <xf numFmtId="0" fontId="2" fillId="5" borderId="0" xfId="0" applyFont="1" applyFill="1" applyAlignment="1">
      <alignment horizontal="right"/>
    </xf>
    <xf numFmtId="0" fontId="2" fillId="5" borderId="0" xfId="0" applyFont="1" applyFill="1"/>
    <xf numFmtId="3" fontId="3" fillId="5" borderId="0" xfId="0" applyNumberFormat="1" applyFont="1" applyFill="1"/>
    <xf numFmtId="3" fontId="3" fillId="5" borderId="0" xfId="0" applyNumberFormat="1" applyFont="1" applyFill="1" applyAlignment="1">
      <alignment horizontal="right"/>
    </xf>
    <xf numFmtId="3" fontId="4" fillId="5" borderId="0" xfId="0" applyNumberFormat="1" applyFont="1" applyFill="1"/>
    <xf numFmtId="3" fontId="4" fillId="5" borderId="0" xfId="0" applyNumberFormat="1" applyFont="1" applyFill="1" applyAlignment="1">
      <alignment horizontal="right"/>
    </xf>
    <xf numFmtId="3" fontId="2" fillId="5" borderId="0" xfId="0" applyNumberFormat="1" applyFont="1" applyFill="1"/>
    <xf numFmtId="3" fontId="10" fillId="5" borderId="0" xfId="0" applyNumberFormat="1" applyFont="1" applyFill="1" applyAlignment="1">
      <alignment horizontal="right"/>
    </xf>
    <xf numFmtId="3" fontId="14" fillId="5" borderId="0" xfId="0" applyNumberFormat="1" applyFont="1" applyFill="1"/>
    <xf numFmtId="0" fontId="2" fillId="12" borderId="0" xfId="0" applyFont="1" applyFill="1" applyAlignment="1">
      <alignment horizontal="right"/>
    </xf>
    <xf numFmtId="3" fontId="3" fillId="12" borderId="0" xfId="0" applyNumberFormat="1" applyFont="1" applyFill="1"/>
    <xf numFmtId="3" fontId="3" fillId="12" borderId="0" xfId="0" applyNumberFormat="1" applyFont="1" applyFill="1" applyAlignment="1">
      <alignment horizontal="right"/>
    </xf>
    <xf numFmtId="3" fontId="4" fillId="12" borderId="0" xfId="0" applyNumberFormat="1" applyFont="1" applyFill="1"/>
    <xf numFmtId="3" fontId="4" fillId="12" borderId="0" xfId="0" applyNumberFormat="1" applyFont="1" applyFill="1" applyAlignment="1">
      <alignment horizontal="right"/>
    </xf>
    <xf numFmtId="3" fontId="2" fillId="12" borderId="0" xfId="0" applyNumberFormat="1" applyFont="1" applyFill="1"/>
    <xf numFmtId="3" fontId="10" fillId="12" borderId="0" xfId="0" applyNumberFormat="1" applyFont="1" applyFill="1" applyAlignment="1">
      <alignment horizontal="right"/>
    </xf>
    <xf numFmtId="3" fontId="14" fillId="12" borderId="0" xfId="0" applyNumberFormat="1" applyFont="1" applyFill="1"/>
    <xf numFmtId="0" fontId="2" fillId="14" borderId="0" xfId="0" applyFont="1" applyFill="1" applyAlignment="1">
      <alignment horizontal="right"/>
    </xf>
    <xf numFmtId="3" fontId="2" fillId="14" borderId="0" xfId="0" applyNumberFormat="1" applyFont="1" applyFill="1" applyAlignment="1">
      <alignment horizontal="right"/>
    </xf>
    <xf numFmtId="3" fontId="3" fillId="14" borderId="0" xfId="0" applyNumberFormat="1" applyFont="1" applyFill="1"/>
    <xf numFmtId="3" fontId="4" fillId="14" borderId="0" xfId="0" applyNumberFormat="1" applyFont="1" applyFill="1"/>
    <xf numFmtId="3" fontId="2" fillId="14" borderId="0" xfId="0" applyNumberFormat="1" applyFont="1" applyFill="1"/>
    <xf numFmtId="3" fontId="4" fillId="14" borderId="0" xfId="0" applyNumberFormat="1" applyFont="1" applyFill="1" applyAlignment="1">
      <alignment horizontal="right"/>
    </xf>
    <xf numFmtId="3" fontId="3" fillId="14" borderId="0" xfId="0" applyNumberFormat="1" applyFont="1" applyFill="1" applyAlignment="1">
      <alignment horizontal="right"/>
    </xf>
    <xf numFmtId="3" fontId="14" fillId="14" borderId="0" xfId="0" applyNumberFormat="1" applyFont="1" applyFill="1"/>
    <xf numFmtId="0" fontId="17" fillId="0" borderId="0" xfId="0" applyFont="1" applyAlignment="1">
      <alignment horizontal="center"/>
    </xf>
    <xf numFmtId="16" fontId="2" fillId="12" borderId="0" xfId="0" applyNumberFormat="1" applyFont="1" applyFill="1" applyAlignment="1">
      <alignment horizontal="center"/>
    </xf>
    <xf numFmtId="0" fontId="2" fillId="11" borderId="0" xfId="0" applyFont="1" applyFill="1" applyAlignment="1">
      <alignment horizontal="right"/>
    </xf>
    <xf numFmtId="3" fontId="2" fillId="11" borderId="0" xfId="0" applyNumberFormat="1" applyFont="1" applyFill="1" applyAlignment="1">
      <alignment horizontal="right"/>
    </xf>
    <xf numFmtId="3" fontId="3" fillId="11" borderId="0" xfId="0" applyNumberFormat="1" applyFont="1" applyFill="1"/>
    <xf numFmtId="3" fontId="4" fillId="11" borderId="0" xfId="0" applyNumberFormat="1" applyFont="1" applyFill="1"/>
    <xf numFmtId="3" fontId="2" fillId="11" borderId="0" xfId="0" applyNumberFormat="1" applyFont="1" applyFill="1"/>
    <xf numFmtId="3" fontId="4" fillId="11" borderId="0" xfId="0" applyNumberFormat="1" applyFont="1" applyFill="1" applyAlignment="1">
      <alignment horizontal="right"/>
    </xf>
    <xf numFmtId="3" fontId="3" fillId="11" borderId="0" xfId="0" applyNumberFormat="1" applyFont="1" applyFill="1" applyAlignment="1">
      <alignment horizontal="right"/>
    </xf>
    <xf numFmtId="3" fontId="14" fillId="11" borderId="0" xfId="0" applyNumberFormat="1" applyFont="1" applyFill="1"/>
    <xf numFmtId="0" fontId="18" fillId="3" borderId="0" xfId="0" applyFont="1" applyFill="1"/>
    <xf numFmtId="0" fontId="2" fillId="9" borderId="0" xfId="0" applyFont="1" applyFill="1" applyAlignment="1">
      <alignment horizontal="right"/>
    </xf>
    <xf numFmtId="3" fontId="2" fillId="9" borderId="0" xfId="0" applyNumberFormat="1" applyFont="1" applyFill="1" applyAlignment="1">
      <alignment horizontal="right"/>
    </xf>
    <xf numFmtId="3" fontId="3" fillId="9" borderId="0" xfId="0" applyNumberFormat="1" applyFont="1" applyFill="1"/>
    <xf numFmtId="3" fontId="4" fillId="9" borderId="0" xfId="0" applyNumberFormat="1" applyFont="1" applyFill="1"/>
    <xf numFmtId="3" fontId="2" fillId="9" borderId="0" xfId="0" applyNumberFormat="1" applyFont="1" applyFill="1"/>
    <xf numFmtId="3" fontId="4" fillId="9" borderId="0" xfId="0" applyNumberFormat="1" applyFont="1" applyFill="1" applyAlignment="1">
      <alignment horizontal="right"/>
    </xf>
    <xf numFmtId="3" fontId="3" fillId="9" borderId="0" xfId="0" applyNumberFormat="1" applyFont="1" applyFill="1" applyAlignment="1">
      <alignment horizontal="right"/>
    </xf>
    <xf numFmtId="3" fontId="14" fillId="9" borderId="0" xfId="0" applyNumberFormat="1" applyFont="1" applyFill="1"/>
    <xf numFmtId="3" fontId="2" fillId="11" borderId="0" xfId="0" applyNumberFormat="1" applyFon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16" fontId="2" fillId="0" borderId="10" xfId="0" applyNumberFormat="1" applyFont="1" applyBorder="1" applyAlignment="1">
      <alignment horizontal="right"/>
    </xf>
    <xf numFmtId="0" fontId="3" fillId="0" borderId="10" xfId="0" applyFont="1" applyBorder="1"/>
    <xf numFmtId="3" fontId="3" fillId="0" borderId="10" xfId="0" applyNumberFormat="1" applyFont="1" applyBorder="1"/>
    <xf numFmtId="3" fontId="3" fillId="0" borderId="10" xfId="0" applyNumberFormat="1" applyFont="1" applyBorder="1" applyAlignment="1">
      <alignment horizontal="right"/>
    </xf>
    <xf numFmtId="3" fontId="3" fillId="0" borderId="9" xfId="0" applyNumberFormat="1" applyFont="1" applyBorder="1"/>
    <xf numFmtId="3" fontId="2" fillId="0" borderId="10" xfId="0" applyNumberFormat="1" applyFont="1" applyBorder="1"/>
    <xf numFmtId="3" fontId="7" fillId="0" borderId="10" xfId="0" applyNumberFormat="1" applyFont="1" applyBorder="1"/>
    <xf numFmtId="3" fontId="5" fillId="0" borderId="10" xfId="0" applyNumberFormat="1" applyFont="1" applyBorder="1"/>
    <xf numFmtId="16" fontId="2" fillId="0" borderId="0" xfId="0" applyNumberFormat="1" applyFont="1" applyAlignment="1">
      <alignment horizontal="center"/>
    </xf>
    <xf numFmtId="0" fontId="3" fillId="15" borderId="4" xfId="0" applyFont="1" applyFill="1" applyBorder="1" applyAlignment="1">
      <alignment textRotation="45"/>
    </xf>
    <xf numFmtId="0" fontId="2" fillId="16" borderId="0" xfId="0" applyFont="1" applyFill="1" applyAlignment="1">
      <alignment horizontal="right"/>
    </xf>
    <xf numFmtId="3" fontId="2" fillId="16" borderId="0" xfId="0" applyNumberFormat="1" applyFont="1" applyFill="1" applyAlignment="1">
      <alignment horizontal="right"/>
    </xf>
    <xf numFmtId="3" fontId="2" fillId="16" borderId="0" xfId="0" applyNumberFormat="1" applyFont="1" applyFill="1" applyAlignment="1">
      <alignment horizontal="center"/>
    </xf>
    <xf numFmtId="3" fontId="3" fillId="16" borderId="0" xfId="0" applyNumberFormat="1" applyFont="1" applyFill="1"/>
    <xf numFmtId="3" fontId="4" fillId="16" borderId="0" xfId="0" applyNumberFormat="1" applyFont="1" applyFill="1"/>
    <xf numFmtId="3" fontId="2" fillId="16" borderId="0" xfId="0" applyNumberFormat="1" applyFont="1" applyFill="1"/>
    <xf numFmtId="3" fontId="4" fillId="16" borderId="0" xfId="0" applyNumberFormat="1" applyFont="1" applyFill="1" applyAlignment="1">
      <alignment horizontal="right"/>
    </xf>
    <xf numFmtId="3" fontId="3" fillId="16" borderId="0" xfId="0" applyNumberFormat="1" applyFont="1" applyFill="1" applyAlignment="1">
      <alignment horizontal="right"/>
    </xf>
    <xf numFmtId="3" fontId="14" fillId="16" borderId="0" xfId="0" applyNumberFormat="1" applyFont="1" applyFill="1"/>
    <xf numFmtId="0" fontId="31" fillId="3" borderId="4" xfId="0" applyFont="1" applyFill="1" applyBorder="1" applyAlignment="1">
      <alignment textRotation="45"/>
    </xf>
    <xf numFmtId="0" fontId="31" fillId="5" borderId="4" xfId="0" applyFont="1" applyFill="1" applyBorder="1" applyAlignment="1">
      <alignment textRotation="45"/>
    </xf>
    <xf numFmtId="0" fontId="31" fillId="15" borderId="4" xfId="0" applyFont="1" applyFill="1" applyBorder="1" applyAlignment="1">
      <alignment textRotation="45"/>
    </xf>
    <xf numFmtId="0" fontId="31" fillId="13" borderId="4" xfId="0" applyFont="1" applyFill="1" applyBorder="1" applyAlignment="1">
      <alignment textRotation="45"/>
    </xf>
    <xf numFmtId="0" fontId="31" fillId="0" borderId="0" xfId="0" applyFont="1"/>
    <xf numFmtId="0" fontId="31" fillId="0" borderId="1" xfId="0" applyFont="1" applyBorder="1"/>
    <xf numFmtId="0" fontId="31" fillId="0" borderId="0" xfId="0" applyFont="1" applyAlignment="1">
      <alignment horizontal="left"/>
    </xf>
    <xf numFmtId="3" fontId="2" fillId="5" borderId="0" xfId="0" applyNumberFormat="1" applyFont="1" applyFill="1" applyAlignment="1">
      <alignment horizontal="right"/>
    </xf>
    <xf numFmtId="3" fontId="2" fillId="5" borderId="0" xfId="0" applyNumberFormat="1" applyFont="1" applyFill="1" applyAlignment="1">
      <alignment horizontal="center"/>
    </xf>
    <xf numFmtId="3" fontId="4" fillId="0" borderId="1" xfId="0" applyNumberFormat="1" applyFont="1" applyBorder="1"/>
    <xf numFmtId="0" fontId="5" fillId="0" borderId="0" xfId="0" applyFont="1" applyAlignment="1">
      <alignment horizontal="center"/>
    </xf>
    <xf numFmtId="3" fontId="25" fillId="0" borderId="4" xfId="0" applyNumberFormat="1" applyFont="1" applyBorder="1"/>
    <xf numFmtId="0" fontId="2" fillId="7" borderId="0" xfId="0" applyFont="1" applyFill="1" applyAlignment="1">
      <alignment horizontal="right"/>
    </xf>
    <xf numFmtId="3" fontId="2" fillId="7" borderId="0" xfId="0" applyNumberFormat="1" applyFont="1" applyFill="1" applyAlignment="1">
      <alignment horizontal="right"/>
    </xf>
    <xf numFmtId="3" fontId="2" fillId="7" borderId="0" xfId="0" applyNumberFormat="1" applyFont="1" applyFill="1" applyAlignment="1">
      <alignment horizontal="center"/>
    </xf>
    <xf numFmtId="3" fontId="3" fillId="7" borderId="0" xfId="0" applyNumberFormat="1" applyFont="1" applyFill="1"/>
    <xf numFmtId="3" fontId="4" fillId="7" borderId="0" xfId="0" applyNumberFormat="1" applyFont="1" applyFill="1"/>
    <xf numFmtId="3" fontId="2" fillId="7" borderId="0" xfId="0" applyNumberFormat="1" applyFont="1" applyFill="1"/>
    <xf numFmtId="3" fontId="4" fillId="7" borderId="0" xfId="0" applyNumberFormat="1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3" fontId="14" fillId="7" borderId="0" xfId="0" applyNumberFormat="1" applyFont="1" applyFill="1"/>
    <xf numFmtId="0" fontId="3" fillId="13" borderId="9" xfId="0" applyFont="1" applyFill="1" applyBorder="1"/>
    <xf numFmtId="0" fontId="3" fillId="13" borderId="1" xfId="0" applyFont="1" applyFill="1" applyBorder="1"/>
    <xf numFmtId="0" fontId="3" fillId="13" borderId="5" xfId="0" applyFont="1" applyFill="1" applyBorder="1"/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3" fontId="2" fillId="12" borderId="0" xfId="0" applyNumberFormat="1" applyFont="1" applyFill="1" applyAlignment="1">
      <alignment horizontal="right"/>
    </xf>
    <xf numFmtId="3" fontId="2" fillId="12" borderId="0" xfId="0" applyNumberFormat="1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5"/>
  <sheetViews>
    <sheetView tabSelected="1" topLeftCell="A54" zoomScale="140" zoomScaleNormal="140" workbookViewId="0">
      <selection activeCell="AB67" sqref="AB67"/>
    </sheetView>
  </sheetViews>
  <sheetFormatPr defaultRowHeight="15" x14ac:dyDescent="0.2"/>
  <cols>
    <col min="1" max="1" width="3.6640625" customWidth="1"/>
    <col min="2" max="2" width="12.6640625" bestFit="1" customWidth="1"/>
    <col min="3" max="3" width="6.5546875" hidden="1" customWidth="1"/>
    <col min="4" max="4" width="5.5546875" hidden="1" customWidth="1"/>
    <col min="5" max="5" width="2.21875" hidden="1" customWidth="1"/>
    <col min="6" max="6" width="6.5546875" hidden="1" customWidth="1"/>
    <col min="7" max="7" width="8" style="11" hidden="1" customWidth="1"/>
    <col min="8" max="8" width="3" style="17" hidden="1" customWidth="1"/>
    <col min="9" max="9" width="6.44140625" style="54" hidden="1" customWidth="1"/>
    <col min="10" max="10" width="7.77734375" style="60" hidden="1" customWidth="1"/>
    <col min="11" max="11" width="3.6640625" customWidth="1"/>
    <col min="12" max="13" width="0" hidden="1" customWidth="1"/>
    <col min="14" max="14" width="4.21875" hidden="1" customWidth="1"/>
    <col min="15" max="16" width="0" hidden="1" customWidth="1"/>
    <col min="17" max="17" width="3.6640625" customWidth="1"/>
    <col min="20" max="20" width="3.5546875" customWidth="1"/>
    <col min="23" max="23" width="5.109375" customWidth="1"/>
    <col min="26" max="26" width="4.5546875" customWidth="1"/>
  </cols>
  <sheetData>
    <row r="1" spans="1:28" s="4" customFormat="1" ht="12.75" x14ac:dyDescent="0.2">
      <c r="A1" s="4" t="s">
        <v>34</v>
      </c>
      <c r="G1" s="40"/>
      <c r="H1" s="41"/>
      <c r="I1" s="79"/>
      <c r="J1" s="58"/>
      <c r="R1" s="131" t="s">
        <v>191</v>
      </c>
    </row>
    <row r="2" spans="1:28" s="2" customFormat="1" ht="11.25" x14ac:dyDescent="0.2">
      <c r="A2" s="1" t="s">
        <v>11</v>
      </c>
      <c r="H2" s="7"/>
      <c r="I2" s="48"/>
      <c r="J2" s="59"/>
      <c r="Q2" s="48"/>
    </row>
    <row r="3" spans="1:28" s="2" customFormat="1" ht="11.25" x14ac:dyDescent="0.2">
      <c r="C3" s="96" t="s">
        <v>149</v>
      </c>
      <c r="D3" s="96" t="s">
        <v>149</v>
      </c>
      <c r="E3" s="25"/>
      <c r="F3" s="105" t="s">
        <v>166</v>
      </c>
      <c r="G3" s="105" t="s">
        <v>166</v>
      </c>
      <c r="H3" s="7"/>
      <c r="I3" s="113" t="s">
        <v>177</v>
      </c>
      <c r="J3" s="113" t="s">
        <v>177</v>
      </c>
      <c r="L3" s="123" t="s">
        <v>185</v>
      </c>
      <c r="M3" s="123" t="s">
        <v>185</v>
      </c>
      <c r="O3" s="132" t="s">
        <v>196</v>
      </c>
      <c r="P3" s="132" t="s">
        <v>196</v>
      </c>
      <c r="Q3" s="48"/>
      <c r="R3" s="152" t="s">
        <v>207</v>
      </c>
      <c r="S3" s="152" t="s">
        <v>207</v>
      </c>
      <c r="U3" s="96" t="s">
        <v>209</v>
      </c>
      <c r="V3" s="96" t="s">
        <v>209</v>
      </c>
      <c r="X3" s="173" t="s">
        <v>216</v>
      </c>
      <c r="Y3" s="173" t="s">
        <v>216</v>
      </c>
      <c r="AA3" s="105" t="s">
        <v>228</v>
      </c>
      <c r="AB3" s="105" t="s">
        <v>228</v>
      </c>
    </row>
    <row r="4" spans="1:28" s="2" customFormat="1" ht="11.25" x14ac:dyDescent="0.2">
      <c r="C4" s="96" t="s">
        <v>30</v>
      </c>
      <c r="D4" s="97" t="s">
        <v>0</v>
      </c>
      <c r="E4" s="1"/>
      <c r="F4" s="105" t="s">
        <v>12</v>
      </c>
      <c r="G4" s="122" t="s">
        <v>182</v>
      </c>
      <c r="H4" s="7"/>
      <c r="I4" s="114" t="s">
        <v>112</v>
      </c>
      <c r="J4" s="117" t="s">
        <v>183</v>
      </c>
      <c r="K4" s="57"/>
      <c r="L4" s="124" t="s">
        <v>112</v>
      </c>
      <c r="M4" s="140" t="s">
        <v>183</v>
      </c>
      <c r="O4" s="133" t="s">
        <v>112</v>
      </c>
      <c r="P4" s="141" t="s">
        <v>183</v>
      </c>
      <c r="Q4" s="48"/>
      <c r="R4" s="153" t="s">
        <v>112</v>
      </c>
      <c r="S4" s="154" t="s">
        <v>183</v>
      </c>
      <c r="U4" s="168" t="s">
        <v>112</v>
      </c>
      <c r="V4" s="169" t="s">
        <v>183</v>
      </c>
      <c r="X4" s="174" t="s">
        <v>112</v>
      </c>
      <c r="Y4" s="175" t="s">
        <v>183</v>
      </c>
      <c r="AA4" s="188" t="s">
        <v>112</v>
      </c>
      <c r="AB4" s="189" t="s">
        <v>183</v>
      </c>
    </row>
    <row r="5" spans="1:28" s="2" customFormat="1" ht="11.25" x14ac:dyDescent="0.2">
      <c r="A5" s="1" t="s">
        <v>1</v>
      </c>
      <c r="C5" s="29"/>
      <c r="D5" s="29"/>
      <c r="F5" s="37"/>
      <c r="G5" s="37"/>
      <c r="H5" s="7"/>
      <c r="I5" s="115"/>
      <c r="J5" s="115"/>
      <c r="K5" s="63"/>
      <c r="L5" s="125"/>
      <c r="M5" s="125"/>
      <c r="O5" s="134"/>
      <c r="P5" s="134"/>
      <c r="Q5" s="48"/>
      <c r="R5" s="155"/>
      <c r="S5" s="155"/>
      <c r="U5" s="98"/>
      <c r="V5" s="98"/>
      <c r="X5" s="176"/>
      <c r="Y5" s="176"/>
      <c r="AA5" s="106"/>
      <c r="AB5" s="106"/>
    </row>
    <row r="6" spans="1:28" s="2" customFormat="1" ht="11.25" x14ac:dyDescent="0.2">
      <c r="A6" s="2">
        <v>1001</v>
      </c>
      <c r="B6" s="2" t="s">
        <v>2</v>
      </c>
      <c r="C6" s="98">
        <f>110900-5000</f>
        <v>105900</v>
      </c>
      <c r="D6" s="98">
        <f>93221.29-6738.04</f>
        <v>86483.25</v>
      </c>
      <c r="E6" s="48"/>
      <c r="F6" s="106">
        <f>129800-6000</f>
        <v>123800</v>
      </c>
      <c r="G6" s="106">
        <v>149754</v>
      </c>
      <c r="I6" s="115">
        <v>253800</v>
      </c>
      <c r="J6" s="115">
        <f>265511-4931</f>
        <v>260580</v>
      </c>
      <c r="K6" s="2" t="s">
        <v>184</v>
      </c>
      <c r="L6" s="125">
        <v>226800</v>
      </c>
      <c r="M6" s="125">
        <v>280886</v>
      </c>
      <c r="O6" s="134">
        <v>124150</v>
      </c>
      <c r="P6" s="134">
        <v>108859</v>
      </c>
      <c r="Q6" s="48"/>
      <c r="R6" s="155">
        <f>80950-4500</f>
        <v>76450</v>
      </c>
      <c r="S6" s="155">
        <v>93059</v>
      </c>
      <c r="U6" s="98">
        <v>266500</v>
      </c>
      <c r="V6" s="98">
        <v>268975</v>
      </c>
      <c r="X6" s="176">
        <f>322800-35000</f>
        <v>287800</v>
      </c>
      <c r="Y6" s="176">
        <f>325738-35580-498</f>
        <v>289660</v>
      </c>
      <c r="AA6" s="106">
        <v>286000</v>
      </c>
      <c r="AB6" s="106">
        <v>0</v>
      </c>
    </row>
    <row r="7" spans="1:28" s="2" customFormat="1" ht="11.25" x14ac:dyDescent="0.2">
      <c r="A7" s="2">
        <v>1002</v>
      </c>
      <c r="B7" s="2" t="s">
        <v>3</v>
      </c>
      <c r="C7" s="98">
        <v>-8600</v>
      </c>
      <c r="D7" s="98">
        <v>-6926</v>
      </c>
      <c r="E7" s="48"/>
      <c r="F7" s="106">
        <v>-10000</v>
      </c>
      <c r="G7" s="106">
        <v>-8079</v>
      </c>
      <c r="I7" s="115">
        <f>'Spec. Konton-RES.ENH'!V73</f>
        <v>-2000</v>
      </c>
      <c r="J7" s="115">
        <v>-5552</v>
      </c>
      <c r="L7" s="125">
        <v>-10000</v>
      </c>
      <c r="M7" s="125">
        <v>-579</v>
      </c>
      <c r="O7" s="134">
        <v>-3500</v>
      </c>
      <c r="P7" s="134">
        <v>0</v>
      </c>
      <c r="Q7" s="48"/>
      <c r="R7" s="155">
        <v>-2500</v>
      </c>
      <c r="S7" s="155">
        <v>-4141</v>
      </c>
      <c r="U7" s="98">
        <v>-4000</v>
      </c>
      <c r="V7" s="98">
        <v>-1195</v>
      </c>
      <c r="X7" s="176">
        <v>-2000</v>
      </c>
      <c r="Y7" s="176">
        <v>-1100</v>
      </c>
      <c r="AA7" s="106">
        <v>-2000</v>
      </c>
      <c r="AB7" s="106">
        <v>0</v>
      </c>
    </row>
    <row r="8" spans="1:28" s="2" customFormat="1" ht="11.25" x14ac:dyDescent="0.2">
      <c r="A8" s="2">
        <v>1003</v>
      </c>
      <c r="B8" s="2" t="s">
        <v>29</v>
      </c>
      <c r="C8" s="98">
        <v>-70000</v>
      </c>
      <c r="D8" s="98">
        <v>-56915.35</v>
      </c>
      <c r="E8" s="48"/>
      <c r="F8" s="106">
        <f>-49000-16000-20000</f>
        <v>-85000</v>
      </c>
      <c r="G8" s="106">
        <v>-52122</v>
      </c>
      <c r="I8" s="115">
        <f>'Spec. Konton-RES.ENH'!W73</f>
        <v>-65000</v>
      </c>
      <c r="J8" s="115">
        <v>-68780</v>
      </c>
      <c r="L8" s="125">
        <v>-84500</v>
      </c>
      <c r="M8" s="125">
        <v>-43084</v>
      </c>
      <c r="O8" s="134">
        <v>-73300</v>
      </c>
      <c r="P8" s="134">
        <v>-64949</v>
      </c>
      <c r="Q8" s="48"/>
      <c r="R8" s="155">
        <v>-66500</v>
      </c>
      <c r="S8" s="155">
        <v>-54213</v>
      </c>
      <c r="U8" s="98">
        <v>-65000</v>
      </c>
      <c r="V8" s="98">
        <v>-59597</v>
      </c>
      <c r="X8" s="176">
        <v>-64000</v>
      </c>
      <c r="Y8" s="176">
        <v>-58613</v>
      </c>
      <c r="AA8" s="106">
        <v>-65000</v>
      </c>
      <c r="AB8" s="106">
        <v>0</v>
      </c>
    </row>
    <row r="9" spans="1:28" s="2" customFormat="1" ht="11.25" x14ac:dyDescent="0.2">
      <c r="A9" s="2">
        <v>1004</v>
      </c>
      <c r="B9" s="2" t="s">
        <v>113</v>
      </c>
      <c r="C9" s="98">
        <v>-25000</v>
      </c>
      <c r="D9" s="99">
        <v>-76543</v>
      </c>
      <c r="E9" s="50"/>
      <c r="F9" s="106">
        <v>-10000</v>
      </c>
      <c r="G9" s="107">
        <v>3779</v>
      </c>
      <c r="I9" s="115">
        <v>1500</v>
      </c>
      <c r="J9" s="115">
        <v>-250</v>
      </c>
      <c r="L9" s="125">
        <v>0</v>
      </c>
      <c r="M9" s="125">
        <v>469</v>
      </c>
      <c r="O9" s="134">
        <v>0</v>
      </c>
      <c r="P9" s="134">
        <v>0</v>
      </c>
      <c r="Q9" s="48"/>
      <c r="R9" s="155">
        <v>0</v>
      </c>
      <c r="S9" s="155">
        <v>0</v>
      </c>
      <c r="U9" s="98">
        <v>0</v>
      </c>
      <c r="V9" s="98">
        <v>0</v>
      </c>
      <c r="X9" s="176">
        <v>0</v>
      </c>
      <c r="Y9" s="176">
        <v>0</v>
      </c>
      <c r="AA9" s="106">
        <v>0</v>
      </c>
      <c r="AB9" s="106">
        <v>0</v>
      </c>
    </row>
    <row r="10" spans="1:28" s="2" customFormat="1" ht="11.25" x14ac:dyDescent="0.2">
      <c r="A10" s="2">
        <v>1005</v>
      </c>
      <c r="B10" s="2" t="s">
        <v>164</v>
      </c>
      <c r="C10" s="100">
        <v>-15000</v>
      </c>
      <c r="D10" s="101">
        <v>-11168.1</v>
      </c>
      <c r="E10" s="64"/>
      <c r="F10" s="108">
        <v>-10000</v>
      </c>
      <c r="G10" s="109">
        <v>0</v>
      </c>
      <c r="H10" s="85"/>
      <c r="I10" s="116">
        <f>'Spec. Konton-RES.ENH'!Y73</f>
        <v>0</v>
      </c>
      <c r="J10" s="116">
        <v>0</v>
      </c>
      <c r="L10" s="126">
        <v>-10000</v>
      </c>
      <c r="M10" s="126">
        <v>0</v>
      </c>
      <c r="O10" s="135">
        <v>-10000</v>
      </c>
      <c r="P10" s="135">
        <v>0</v>
      </c>
      <c r="Q10" s="48"/>
      <c r="R10" s="156">
        <v>0</v>
      </c>
      <c r="S10" s="156">
        <v>0</v>
      </c>
      <c r="U10" s="100">
        <v>0</v>
      </c>
      <c r="V10" s="100">
        <v>0</v>
      </c>
      <c r="X10" s="177">
        <v>0</v>
      </c>
      <c r="Y10" s="177">
        <v>0</v>
      </c>
      <c r="AA10" s="108">
        <v>0</v>
      </c>
      <c r="AB10" s="108">
        <v>0</v>
      </c>
    </row>
    <row r="11" spans="1:28" s="2" customFormat="1" ht="11.25" x14ac:dyDescent="0.2">
      <c r="C11" s="102">
        <f>SUM(C6:C10)</f>
        <v>-12700</v>
      </c>
      <c r="D11" s="102">
        <f>SUM(D6:D10)</f>
        <v>-65069.2</v>
      </c>
      <c r="E11" s="48"/>
      <c r="F11" s="110">
        <f>SUM(F6:F10)</f>
        <v>8800</v>
      </c>
      <c r="G11" s="110">
        <f>SUM(G6:G10)</f>
        <v>93332</v>
      </c>
      <c r="H11" s="1"/>
      <c r="I11" s="117">
        <f>SUM(I6:I10)</f>
        <v>188300</v>
      </c>
      <c r="J11" s="117">
        <f>SUM(J6:J10)</f>
        <v>185998</v>
      </c>
      <c r="L11" s="127">
        <f>SUM(L6:L10)</f>
        <v>122300</v>
      </c>
      <c r="M11" s="127">
        <f>SUM(M6:M10)</f>
        <v>237692</v>
      </c>
      <c r="O11" s="136">
        <f>SUM(O6:O10)</f>
        <v>37350</v>
      </c>
      <c r="P11" s="136">
        <f>SUM(P6:P10)</f>
        <v>43910</v>
      </c>
      <c r="Q11" s="48"/>
      <c r="R11" s="157">
        <f>SUM(R6:R10)</f>
        <v>7450</v>
      </c>
      <c r="S11" s="157">
        <f>SUM(S6:S10)</f>
        <v>34705</v>
      </c>
      <c r="U11" s="102">
        <f>SUM(U6:U10)</f>
        <v>197500</v>
      </c>
      <c r="V11" s="102">
        <f>SUM(V6:V10)</f>
        <v>208183</v>
      </c>
      <c r="X11" s="178">
        <f>SUM(X6:X10)</f>
        <v>221800</v>
      </c>
      <c r="Y11" s="178">
        <f>SUM(Y6:Y10)</f>
        <v>229947</v>
      </c>
      <c r="AA11" s="110">
        <f>SUM(AA6:AA10)</f>
        <v>219000</v>
      </c>
      <c r="AB11" s="110">
        <f>SUM(AB6:AB10)</f>
        <v>0</v>
      </c>
    </row>
    <row r="12" spans="1:28" s="2" customFormat="1" ht="11.25" x14ac:dyDescent="0.2">
      <c r="C12" s="98"/>
      <c r="D12" s="98"/>
      <c r="E12" s="48"/>
      <c r="F12" s="106"/>
      <c r="G12" s="106"/>
      <c r="I12" s="115"/>
      <c r="J12" s="115"/>
      <c r="L12" s="125"/>
      <c r="M12" s="125"/>
      <c r="O12" s="134"/>
      <c r="P12" s="134"/>
      <c r="Q12" s="48"/>
      <c r="R12" s="155"/>
      <c r="S12" s="155"/>
      <c r="U12" s="98"/>
      <c r="V12" s="98"/>
      <c r="X12" s="176"/>
      <c r="Y12" s="176"/>
      <c r="AA12" s="106"/>
      <c r="AB12" s="106"/>
    </row>
    <row r="13" spans="1:28" s="2" customFormat="1" ht="11.25" x14ac:dyDescent="0.2">
      <c r="A13" s="1" t="s">
        <v>152</v>
      </c>
      <c r="C13" s="98"/>
      <c r="D13" s="98"/>
      <c r="E13" s="48"/>
      <c r="F13" s="106"/>
      <c r="G13" s="106"/>
      <c r="I13" s="115"/>
      <c r="J13" s="115"/>
      <c r="L13" s="125"/>
      <c r="M13" s="125"/>
      <c r="O13" s="134"/>
      <c r="P13" s="134"/>
      <c r="Q13" s="48"/>
      <c r="R13" s="155"/>
      <c r="S13" s="155"/>
      <c r="U13" s="98"/>
      <c r="V13" s="98"/>
      <c r="X13" s="176"/>
      <c r="Y13" s="176"/>
      <c r="AA13" s="106"/>
      <c r="AB13" s="106"/>
    </row>
    <row r="14" spans="1:28" s="2" customFormat="1" ht="11.25" x14ac:dyDescent="0.2">
      <c r="A14" s="2">
        <v>2001</v>
      </c>
      <c r="B14" s="2" t="s">
        <v>153</v>
      </c>
      <c r="C14" s="98">
        <v>-3500</v>
      </c>
      <c r="D14" s="98">
        <v>-4774</v>
      </c>
      <c r="E14" s="48"/>
      <c r="F14" s="106">
        <v>-4500</v>
      </c>
      <c r="G14" s="106">
        <v>-4828</v>
      </c>
      <c r="I14" s="115">
        <f>'Spec. Konton-RES.ENH'!Z73</f>
        <v>-5000</v>
      </c>
      <c r="J14" s="115">
        <v>-4710</v>
      </c>
      <c r="L14" s="125">
        <v>-5000</v>
      </c>
      <c r="M14" s="125">
        <v>0</v>
      </c>
      <c r="O14" s="134">
        <v>-3000</v>
      </c>
      <c r="P14" s="134">
        <v>-397</v>
      </c>
      <c r="Q14" s="48"/>
      <c r="R14" s="155">
        <v>-5000</v>
      </c>
      <c r="S14" s="155">
        <v>282</v>
      </c>
      <c r="U14" s="98">
        <v>-3000</v>
      </c>
      <c r="V14" s="98">
        <v>0</v>
      </c>
      <c r="X14" s="176">
        <v>-3000</v>
      </c>
      <c r="Y14" s="176">
        <v>-2692</v>
      </c>
      <c r="AA14" s="106">
        <v>-5000</v>
      </c>
      <c r="AB14" s="106">
        <v>0</v>
      </c>
    </row>
    <row r="15" spans="1:28" s="2" customFormat="1" ht="11.25" x14ac:dyDescent="0.2">
      <c r="A15" s="2">
        <v>2004</v>
      </c>
      <c r="B15" s="2" t="s">
        <v>154</v>
      </c>
      <c r="C15" s="98">
        <v>-5900</v>
      </c>
      <c r="D15" s="98">
        <v>-4926</v>
      </c>
      <c r="E15" s="48"/>
      <c r="F15" s="106">
        <v>-2900</v>
      </c>
      <c r="G15" s="106">
        <v>-11598</v>
      </c>
      <c r="I15" s="115">
        <f>'Spec. Konton-RES.ENH'!AA73</f>
        <v>-3000</v>
      </c>
      <c r="J15" s="115">
        <v>19072</v>
      </c>
      <c r="L15" s="125">
        <v>-2900</v>
      </c>
      <c r="M15" s="125">
        <v>0</v>
      </c>
      <c r="O15" s="134">
        <v>-5000</v>
      </c>
      <c r="P15" s="134">
        <v>0</v>
      </c>
      <c r="Q15" s="48"/>
      <c r="R15" s="155">
        <v>-5000</v>
      </c>
      <c r="S15" s="155">
        <v>0</v>
      </c>
      <c r="U15" s="98">
        <v>0</v>
      </c>
      <c r="V15" s="98">
        <v>-3188</v>
      </c>
      <c r="X15" s="176">
        <v>0</v>
      </c>
      <c r="Y15" s="176">
        <v>-3740</v>
      </c>
      <c r="AA15" s="106">
        <v>-3000</v>
      </c>
      <c r="AB15" s="106">
        <v>0</v>
      </c>
    </row>
    <row r="16" spans="1:28" s="2" customFormat="1" ht="11.25" x14ac:dyDescent="0.2">
      <c r="A16" s="2">
        <v>2005</v>
      </c>
      <c r="B16" s="2" t="s">
        <v>156</v>
      </c>
      <c r="C16" s="98">
        <v>0</v>
      </c>
      <c r="D16" s="98">
        <v>-3530</v>
      </c>
      <c r="E16" s="48"/>
      <c r="F16" s="106">
        <v>-1000</v>
      </c>
      <c r="G16" s="106">
        <v>-1149</v>
      </c>
      <c r="I16" s="115">
        <f>'Spec. Konton-RES.ENH'!AB73</f>
        <v>0</v>
      </c>
      <c r="J16" s="115">
        <v>3111</v>
      </c>
      <c r="L16" s="125">
        <v>-1000</v>
      </c>
      <c r="M16" s="125">
        <v>0</v>
      </c>
      <c r="O16" s="134">
        <v>-3000</v>
      </c>
      <c r="P16" s="134">
        <v>0</v>
      </c>
      <c r="Q16" s="48"/>
      <c r="R16" s="155">
        <v>-1000</v>
      </c>
      <c r="S16" s="155">
        <v>-2176.5</v>
      </c>
      <c r="U16" s="98">
        <v>-2650</v>
      </c>
      <c r="V16" s="98">
        <v>2894</v>
      </c>
      <c r="X16" s="176">
        <v>-400</v>
      </c>
      <c r="Y16" s="176">
        <v>1560</v>
      </c>
      <c r="AA16" s="106">
        <v>0</v>
      </c>
      <c r="AB16" s="106">
        <v>0</v>
      </c>
    </row>
    <row r="17" spans="1:28" s="2" customFormat="1" ht="11.25" x14ac:dyDescent="0.2">
      <c r="A17" s="2">
        <v>2006</v>
      </c>
      <c r="B17" s="2" t="s">
        <v>43</v>
      </c>
      <c r="C17" s="98">
        <v>-3500</v>
      </c>
      <c r="D17" s="98">
        <v>-2088</v>
      </c>
      <c r="E17" s="48"/>
      <c r="F17" s="106">
        <v>-3500</v>
      </c>
      <c r="G17" s="106">
        <v>-3320</v>
      </c>
      <c r="I17" s="115">
        <f>'Spec. Konton-RES.ENH'!AC73</f>
        <v>0</v>
      </c>
      <c r="J17" s="115">
        <v>-26</v>
      </c>
      <c r="L17" s="125">
        <v>-3500</v>
      </c>
      <c r="M17" s="125">
        <v>0</v>
      </c>
      <c r="O17" s="134">
        <v>-4000</v>
      </c>
      <c r="P17" s="134">
        <v>0</v>
      </c>
      <c r="Q17" s="48"/>
      <c r="R17" s="155">
        <v>-4000</v>
      </c>
      <c r="S17" s="155">
        <v>0</v>
      </c>
      <c r="U17" s="98">
        <v>0</v>
      </c>
      <c r="V17" s="98">
        <v>0</v>
      </c>
      <c r="X17" s="176">
        <v>0</v>
      </c>
      <c r="Y17" s="176">
        <v>0</v>
      </c>
      <c r="AA17" s="106">
        <v>0</v>
      </c>
      <c r="AB17" s="106">
        <v>0</v>
      </c>
    </row>
    <row r="18" spans="1:28" s="2" customFormat="1" ht="11.25" x14ac:dyDescent="0.2">
      <c r="A18" s="2">
        <v>2007</v>
      </c>
      <c r="B18" s="2" t="s">
        <v>155</v>
      </c>
      <c r="C18" s="98">
        <v>-3500</v>
      </c>
      <c r="D18" s="98">
        <v>-2174</v>
      </c>
      <c r="E18" s="48"/>
      <c r="F18" s="106">
        <v>-3500</v>
      </c>
      <c r="G18" s="106">
        <v>-5659</v>
      </c>
      <c r="I18" s="115">
        <f>'Spec. Konton-RES.ENH'!AD73</f>
        <v>0</v>
      </c>
      <c r="J18" s="115">
        <v>-1576</v>
      </c>
      <c r="L18" s="125">
        <v>-3500</v>
      </c>
      <c r="M18" s="125">
        <v>0</v>
      </c>
      <c r="O18" s="134">
        <v>-2000</v>
      </c>
      <c r="P18" s="134">
        <v>0</v>
      </c>
      <c r="Q18" s="48"/>
      <c r="R18" s="155">
        <v>-2000</v>
      </c>
      <c r="S18" s="155">
        <v>0</v>
      </c>
      <c r="U18" s="98">
        <v>0</v>
      </c>
      <c r="V18" s="98">
        <v>0</v>
      </c>
      <c r="X18" s="176">
        <v>0</v>
      </c>
      <c r="Y18" s="176">
        <v>0</v>
      </c>
      <c r="AA18" s="106">
        <v>0</v>
      </c>
      <c r="AB18" s="106">
        <v>0</v>
      </c>
    </row>
    <row r="19" spans="1:28" s="2" customFormat="1" ht="11.25" x14ac:dyDescent="0.2">
      <c r="A19" s="2">
        <v>2008</v>
      </c>
      <c r="B19" s="2" t="s">
        <v>157</v>
      </c>
      <c r="C19" s="101">
        <v>-6000</v>
      </c>
      <c r="D19" s="101">
        <v>0</v>
      </c>
      <c r="E19" s="64"/>
      <c r="F19" s="109">
        <v>-3000</v>
      </c>
      <c r="G19" s="109">
        <v>0</v>
      </c>
      <c r="H19" s="85"/>
      <c r="I19" s="118">
        <f>'Spec. Konton-RES.ENH'!AE73</f>
        <v>-3000</v>
      </c>
      <c r="J19" s="118">
        <v>0</v>
      </c>
      <c r="L19" s="128">
        <v>-18000</v>
      </c>
      <c r="M19" s="128">
        <v>0</v>
      </c>
      <c r="O19" s="137">
        <v>-10000</v>
      </c>
      <c r="P19" s="137">
        <v>0</v>
      </c>
      <c r="Q19" s="48"/>
      <c r="R19" s="158">
        <v>-10000</v>
      </c>
      <c r="S19" s="158">
        <v>0</v>
      </c>
      <c r="U19" s="101">
        <v>-5000</v>
      </c>
      <c r="V19" s="101">
        <v>0</v>
      </c>
      <c r="X19" s="179">
        <v>-5000</v>
      </c>
      <c r="Y19" s="179">
        <v>0</v>
      </c>
      <c r="AA19" s="109">
        <v>-3000</v>
      </c>
      <c r="AB19" s="109">
        <v>0</v>
      </c>
    </row>
    <row r="20" spans="1:28" s="2" customFormat="1" ht="11.25" x14ac:dyDescent="0.2">
      <c r="C20" s="102">
        <f>SUM(C14:C19)</f>
        <v>-22400</v>
      </c>
      <c r="D20" s="102">
        <f>SUM(D14:D19)</f>
        <v>-17492</v>
      </c>
      <c r="E20" s="48"/>
      <c r="F20" s="110">
        <f>SUM(F14:F19)</f>
        <v>-18400</v>
      </c>
      <c r="G20" s="110">
        <f>SUM(G14:G19)</f>
        <v>-26554</v>
      </c>
      <c r="H20" s="1"/>
      <c r="I20" s="117">
        <f>SUM(I14:I19)</f>
        <v>-11000</v>
      </c>
      <c r="J20" s="117">
        <f>SUM(J14:J19)</f>
        <v>15871</v>
      </c>
      <c r="L20" s="127">
        <f>SUM(L14:L19)</f>
        <v>-33900</v>
      </c>
      <c r="M20" s="127">
        <f>SUM(M14:M19)</f>
        <v>0</v>
      </c>
      <c r="O20" s="136">
        <f>SUM(O14:O19)</f>
        <v>-27000</v>
      </c>
      <c r="P20" s="136">
        <f>SUM(P14:P19)</f>
        <v>-397</v>
      </c>
      <c r="Q20" s="48"/>
      <c r="R20" s="157">
        <f>SUM(R14:R19)</f>
        <v>-27000</v>
      </c>
      <c r="S20" s="157">
        <f>SUM(S14:S19)</f>
        <v>-1894.5</v>
      </c>
      <c r="U20" s="102">
        <f>SUM(U14:U19)</f>
        <v>-10650</v>
      </c>
      <c r="V20" s="102">
        <f>SUM(V14:V19)</f>
        <v>-294</v>
      </c>
      <c r="X20" s="178">
        <f>SUM(X14:X19)</f>
        <v>-8400</v>
      </c>
      <c r="Y20" s="178">
        <f>SUM(Y14:Y19)</f>
        <v>-4872</v>
      </c>
      <c r="AA20" s="110">
        <f>SUM(AA14:AA19)</f>
        <v>-11000</v>
      </c>
      <c r="AB20" s="110">
        <f>SUM(AB14:AB19)</f>
        <v>0</v>
      </c>
    </row>
    <row r="21" spans="1:28" s="2" customFormat="1" ht="11.25" x14ac:dyDescent="0.2">
      <c r="C21" s="98"/>
      <c r="D21" s="98"/>
      <c r="E21" s="48"/>
      <c r="F21" s="106"/>
      <c r="G21" s="106"/>
      <c r="I21" s="115"/>
      <c r="J21" s="115"/>
      <c r="L21" s="125"/>
      <c r="M21" s="125"/>
      <c r="O21" s="134"/>
      <c r="P21" s="134"/>
      <c r="Q21" s="48"/>
      <c r="R21" s="155"/>
      <c r="S21" s="155"/>
      <c r="U21" s="98"/>
      <c r="V21" s="98"/>
      <c r="X21" s="176"/>
      <c r="Y21" s="176"/>
      <c r="AA21" s="106"/>
      <c r="AB21" s="106"/>
    </row>
    <row r="22" spans="1:28" s="2" customFormat="1" ht="11.25" x14ac:dyDescent="0.2">
      <c r="A22" s="1" t="s">
        <v>36</v>
      </c>
      <c r="C22" s="98"/>
      <c r="D22" s="98"/>
      <c r="E22" s="48"/>
      <c r="F22" s="106"/>
      <c r="G22" s="106"/>
      <c r="I22" s="115"/>
      <c r="J22" s="115"/>
      <c r="L22" s="125"/>
      <c r="M22" s="125"/>
      <c r="O22" s="134"/>
      <c r="P22" s="134"/>
      <c r="Q22" s="48"/>
      <c r="R22" s="155"/>
      <c r="S22" s="155"/>
      <c r="U22" s="98"/>
      <c r="V22" s="98"/>
      <c r="X22" s="176"/>
      <c r="Y22" s="176"/>
      <c r="AA22" s="106"/>
      <c r="AB22" s="106"/>
    </row>
    <row r="23" spans="1:28" s="2" customFormat="1" ht="11.25" x14ac:dyDescent="0.2">
      <c r="A23" s="2">
        <v>3001</v>
      </c>
      <c r="B23" s="2" t="s">
        <v>44</v>
      </c>
      <c r="C23" s="99">
        <v>0</v>
      </c>
      <c r="D23" s="98">
        <v>0</v>
      </c>
      <c r="E23" s="48"/>
      <c r="F23" s="107">
        <v>0</v>
      </c>
      <c r="G23" s="106">
        <v>0</v>
      </c>
      <c r="I23" s="119">
        <v>0</v>
      </c>
      <c r="J23" s="119">
        <v>0</v>
      </c>
      <c r="L23" s="129">
        <v>-25000</v>
      </c>
      <c r="M23" s="129">
        <v>-23250</v>
      </c>
      <c r="O23" s="138">
        <v>-25000</v>
      </c>
      <c r="P23" s="138">
        <v>-894</v>
      </c>
      <c r="Q23" s="48"/>
      <c r="R23" s="159">
        <v>0</v>
      </c>
      <c r="S23" s="159">
        <v>0</v>
      </c>
      <c r="U23" s="99">
        <v>0</v>
      </c>
      <c r="V23" s="99">
        <v>0</v>
      </c>
      <c r="X23" s="180">
        <v>0</v>
      </c>
      <c r="Y23" s="180">
        <v>0</v>
      </c>
      <c r="AA23" s="107">
        <v>0</v>
      </c>
      <c r="AB23" s="107">
        <v>0</v>
      </c>
    </row>
    <row r="24" spans="1:28" s="2" customFormat="1" ht="11.25" x14ac:dyDescent="0.2">
      <c r="A24" s="2">
        <v>3002</v>
      </c>
      <c r="B24" s="2" t="s">
        <v>56</v>
      </c>
      <c r="C24" s="99">
        <v>-15000</v>
      </c>
      <c r="D24" s="98">
        <v>-10353.06</v>
      </c>
      <c r="E24" s="48"/>
      <c r="F24" s="107">
        <v>-30000</v>
      </c>
      <c r="G24" s="106">
        <v>-48272</v>
      </c>
      <c r="I24" s="119">
        <v>-30000</v>
      </c>
      <c r="J24" s="119">
        <v>-22675</v>
      </c>
      <c r="L24" s="129">
        <v>-50000</v>
      </c>
      <c r="M24" s="129">
        <v>0</v>
      </c>
      <c r="O24" s="138">
        <v>-30000</v>
      </c>
      <c r="P24" s="138">
        <v>0</v>
      </c>
      <c r="Q24" s="48"/>
      <c r="R24" s="159">
        <v>-225000</v>
      </c>
      <c r="S24" s="159">
        <v>-1907.5</v>
      </c>
      <c r="U24" s="99">
        <v>-150000</v>
      </c>
      <c r="V24" s="99">
        <v>-19840</v>
      </c>
      <c r="X24" s="180">
        <v>-150000</v>
      </c>
      <c r="Y24" s="180">
        <v>-76313</v>
      </c>
      <c r="AA24" s="107">
        <v>-150000</v>
      </c>
      <c r="AB24" s="107">
        <v>0</v>
      </c>
    </row>
    <row r="25" spans="1:28" s="2" customFormat="1" ht="11.25" hidden="1" x14ac:dyDescent="0.2">
      <c r="A25" s="2">
        <v>3003</v>
      </c>
      <c r="B25" s="2" t="s">
        <v>104</v>
      </c>
      <c r="C25" s="99"/>
      <c r="D25" s="99"/>
      <c r="E25" s="50"/>
      <c r="F25" s="107"/>
      <c r="G25" s="107"/>
      <c r="I25" s="119"/>
      <c r="J25" s="119"/>
      <c r="L25" s="129"/>
      <c r="M25" s="129"/>
      <c r="O25" s="138"/>
      <c r="P25" s="138"/>
      <c r="Q25" s="48"/>
      <c r="R25" s="159"/>
      <c r="S25" s="159"/>
      <c r="U25" s="99"/>
      <c r="V25" s="99"/>
      <c r="X25" s="180"/>
      <c r="Y25" s="180"/>
      <c r="AA25" s="107"/>
      <c r="AB25" s="107"/>
    </row>
    <row r="26" spans="1:28" ht="11.25" customHeight="1" x14ac:dyDescent="0.2">
      <c r="A26" s="2">
        <v>3004</v>
      </c>
      <c r="B26" s="2" t="s">
        <v>150</v>
      </c>
      <c r="C26" s="101">
        <v>0</v>
      </c>
      <c r="D26" s="100">
        <v>0</v>
      </c>
      <c r="E26" s="86"/>
      <c r="F26" s="109">
        <v>0</v>
      </c>
      <c r="G26" s="108">
        <v>0</v>
      </c>
      <c r="H26" s="87"/>
      <c r="I26" s="118">
        <v>0</v>
      </c>
      <c r="J26" s="118">
        <v>0</v>
      </c>
      <c r="L26" s="128">
        <v>0</v>
      </c>
      <c r="M26" s="128">
        <v>0</v>
      </c>
      <c r="O26" s="137">
        <v>-6000</v>
      </c>
      <c r="P26" s="137">
        <v>0</v>
      </c>
      <c r="Q26" s="48"/>
      <c r="R26" s="158">
        <v>0</v>
      </c>
      <c r="S26" s="158">
        <v>0</v>
      </c>
      <c r="U26" s="101">
        <v>0</v>
      </c>
      <c r="V26" s="101">
        <v>0</v>
      </c>
      <c r="X26" s="179">
        <v>0</v>
      </c>
      <c r="Y26" s="179">
        <v>0</v>
      </c>
      <c r="AA26" s="109">
        <v>0</v>
      </c>
      <c r="AB26" s="109">
        <v>0</v>
      </c>
    </row>
    <row r="27" spans="1:28" s="2" customFormat="1" ht="11.25" x14ac:dyDescent="0.2">
      <c r="C27" s="102">
        <f>SUM(C23:C26)</f>
        <v>-15000</v>
      </c>
      <c r="D27" s="102">
        <f>SUM(D23:D26)</f>
        <v>-10353.06</v>
      </c>
      <c r="E27" s="48"/>
      <c r="F27" s="110">
        <f>SUM(F23:F26)</f>
        <v>-30000</v>
      </c>
      <c r="G27" s="110">
        <f>SUM(G23:G26)</f>
        <v>-48272</v>
      </c>
      <c r="H27" s="1"/>
      <c r="I27" s="117">
        <f>SUM(I23:I26)</f>
        <v>-30000</v>
      </c>
      <c r="J27" s="117">
        <f>SUM(J23:J26)</f>
        <v>-22675</v>
      </c>
      <c r="L27" s="127">
        <f>SUM(L23:L26)</f>
        <v>-75000</v>
      </c>
      <c r="M27" s="127">
        <f>SUM(M23:M26)</f>
        <v>-23250</v>
      </c>
      <c r="O27" s="136">
        <f>SUM(O23:O26)</f>
        <v>-61000</v>
      </c>
      <c r="P27" s="136">
        <f>SUM(P23:P26)</f>
        <v>-894</v>
      </c>
      <c r="Q27" s="48"/>
      <c r="R27" s="157">
        <f>SUM(R23:R26)</f>
        <v>-225000</v>
      </c>
      <c r="S27" s="157">
        <f>SUM(S23:S26)</f>
        <v>-1907.5</v>
      </c>
      <c r="U27" s="102">
        <f>SUM(U23:U26)</f>
        <v>-150000</v>
      </c>
      <c r="V27" s="102">
        <f>SUM(V23:V26)</f>
        <v>-19840</v>
      </c>
      <c r="X27" s="178">
        <f>SUM(X23:X26)</f>
        <v>-150000</v>
      </c>
      <c r="Y27" s="178">
        <f>SUM(Y23:Y26)</f>
        <v>-76313</v>
      </c>
      <c r="AA27" s="110">
        <f>SUM(AA23:AA26)</f>
        <v>-150000</v>
      </c>
      <c r="AB27" s="110">
        <f>SUM(AB23:AB26)</f>
        <v>0</v>
      </c>
    </row>
    <row r="28" spans="1:28" s="2" customFormat="1" ht="11.25" x14ac:dyDescent="0.2">
      <c r="C28" s="98"/>
      <c r="D28" s="98"/>
      <c r="E28" s="48"/>
      <c r="F28" s="106"/>
      <c r="G28" s="106"/>
      <c r="I28" s="115"/>
      <c r="J28" s="115"/>
      <c r="L28" s="125"/>
      <c r="M28" s="125"/>
      <c r="O28" s="134"/>
      <c r="P28" s="134"/>
      <c r="Q28" s="48"/>
      <c r="R28" s="155"/>
      <c r="S28" s="155"/>
      <c r="U28" s="98"/>
      <c r="V28" s="98"/>
      <c r="X28" s="176"/>
      <c r="Y28" s="176"/>
      <c r="AA28" s="106"/>
      <c r="AB28" s="106"/>
    </row>
    <row r="29" spans="1:28" s="2" customFormat="1" ht="11.25" x14ac:dyDescent="0.2">
      <c r="A29" s="1" t="s">
        <v>6</v>
      </c>
      <c r="C29" s="98"/>
      <c r="D29" s="98"/>
      <c r="E29" s="48"/>
      <c r="F29" s="106"/>
      <c r="G29" s="106"/>
      <c r="I29" s="115"/>
      <c r="J29" s="115"/>
      <c r="L29" s="125"/>
      <c r="M29" s="125"/>
      <c r="O29" s="134"/>
      <c r="P29" s="134"/>
      <c r="Q29" s="48"/>
      <c r="R29" s="155"/>
      <c r="S29" s="155"/>
      <c r="U29" s="98"/>
      <c r="V29" s="98"/>
      <c r="X29" s="176"/>
      <c r="Y29" s="176"/>
      <c r="AA29" s="106"/>
      <c r="AB29" s="106"/>
    </row>
    <row r="30" spans="1:28" s="2" customFormat="1" ht="11.25" x14ac:dyDescent="0.2">
      <c r="A30" s="2">
        <v>4001</v>
      </c>
      <c r="B30" s="2" t="s">
        <v>45</v>
      </c>
      <c r="C30" s="98">
        <v>-7500</v>
      </c>
      <c r="D30" s="98">
        <v>-4171</v>
      </c>
      <c r="E30" s="48"/>
      <c r="F30" s="106">
        <v>19000</v>
      </c>
      <c r="G30" s="106">
        <v>20000</v>
      </c>
      <c r="I30" s="115">
        <v>-20000</v>
      </c>
      <c r="J30" s="115">
        <v>-245</v>
      </c>
      <c r="L30" s="125">
        <v>-40000</v>
      </c>
      <c r="M30" s="125">
        <v>-12012</v>
      </c>
      <c r="O30" s="134">
        <v>-28000</v>
      </c>
      <c r="P30" s="134">
        <v>-13465</v>
      </c>
      <c r="Q30" s="48"/>
      <c r="R30" s="155">
        <v>-28000</v>
      </c>
      <c r="S30" s="155">
        <v>-26788</v>
      </c>
      <c r="U30" s="98">
        <v>-25000</v>
      </c>
      <c r="V30" s="98">
        <v>-7336</v>
      </c>
      <c r="X30" s="176">
        <v>-15600</v>
      </c>
      <c r="Y30" s="176">
        <v>-1549</v>
      </c>
      <c r="AA30" s="106">
        <v>-10000</v>
      </c>
      <c r="AB30" s="106">
        <v>0</v>
      </c>
    </row>
    <row r="31" spans="1:28" s="2" customFormat="1" ht="11.25" x14ac:dyDescent="0.2">
      <c r="A31" s="2">
        <v>4002</v>
      </c>
      <c r="B31" s="2" t="s">
        <v>114</v>
      </c>
      <c r="C31" s="99">
        <v>-33000</v>
      </c>
      <c r="D31" s="98">
        <v>-9465</v>
      </c>
      <c r="E31" s="48"/>
      <c r="F31" s="107">
        <v>-30000</v>
      </c>
      <c r="G31" s="106">
        <v>-29656</v>
      </c>
      <c r="I31" s="119">
        <v>-30000</v>
      </c>
      <c r="J31" s="119">
        <v>-26415</v>
      </c>
      <c r="L31" s="129">
        <v>-54000</v>
      </c>
      <c r="M31" s="129">
        <v>0</v>
      </c>
      <c r="O31" s="138">
        <v>-53000</v>
      </c>
      <c r="P31" s="138">
        <v>-45913</v>
      </c>
      <c r="Q31" s="48"/>
      <c r="R31" s="159">
        <v>-53000</v>
      </c>
      <c r="S31" s="159">
        <v>-31556</v>
      </c>
      <c r="U31" s="99">
        <v>-20000</v>
      </c>
      <c r="V31" s="99">
        <v>-91668</v>
      </c>
      <c r="X31" s="180">
        <v>-107500</v>
      </c>
      <c r="Y31" s="180">
        <v>-124739</v>
      </c>
      <c r="AA31" s="107">
        <v>-174030</v>
      </c>
      <c r="AB31" s="107">
        <v>0</v>
      </c>
    </row>
    <row r="32" spans="1:28" s="2" customFormat="1" ht="11.25" x14ac:dyDescent="0.2">
      <c r="A32" s="2">
        <v>4004</v>
      </c>
      <c r="B32" s="2" t="s">
        <v>46</v>
      </c>
      <c r="C32" s="98">
        <v>-6000</v>
      </c>
      <c r="D32" s="98">
        <v>4747</v>
      </c>
      <c r="E32" s="48"/>
      <c r="F32" s="106">
        <v>-6000</v>
      </c>
      <c r="G32" s="106">
        <v>9471</v>
      </c>
      <c r="I32" s="115">
        <f>'Spec. Konton-RES.ENH'!AK73</f>
        <v>-22200</v>
      </c>
      <c r="J32" s="115">
        <v>28996</v>
      </c>
      <c r="L32" s="125">
        <v>-6000</v>
      </c>
      <c r="M32" s="125">
        <v>-3394</v>
      </c>
      <c r="O32" s="134">
        <v>-33000</v>
      </c>
      <c r="P32" s="134">
        <v>-43761</v>
      </c>
      <c r="Q32" s="48"/>
      <c r="R32" s="155">
        <v>-43000</v>
      </c>
      <c r="S32" s="155">
        <v>-32965</v>
      </c>
      <c r="U32" s="98">
        <v>0</v>
      </c>
      <c r="V32" s="98">
        <v>-33108</v>
      </c>
      <c r="X32" s="176">
        <v>-35500</v>
      </c>
      <c r="Y32" s="176">
        <v>11205</v>
      </c>
      <c r="AA32" s="106">
        <v>-22200</v>
      </c>
      <c r="AB32" s="106">
        <v>0</v>
      </c>
    </row>
    <row r="33" spans="1:28" s="2" customFormat="1" ht="11.25" x14ac:dyDescent="0.2">
      <c r="A33" s="2">
        <v>4005</v>
      </c>
      <c r="B33" s="2" t="s">
        <v>47</v>
      </c>
      <c r="C33" s="98">
        <v>1100</v>
      </c>
      <c r="D33" s="98">
        <v>-2449</v>
      </c>
      <c r="E33" s="48"/>
      <c r="F33" s="106">
        <v>1100</v>
      </c>
      <c r="G33" s="106">
        <v>-13796</v>
      </c>
      <c r="I33" s="115">
        <f>'Spec. Konton-RES.ENH'!AL73</f>
        <v>-20000</v>
      </c>
      <c r="J33" s="115">
        <v>-15824</v>
      </c>
      <c r="L33" s="125">
        <v>1100</v>
      </c>
      <c r="M33" s="125">
        <v>-4949</v>
      </c>
      <c r="O33" s="134">
        <v>0</v>
      </c>
      <c r="P33" s="134">
        <v>4955</v>
      </c>
      <c r="Q33" s="48"/>
      <c r="R33" s="155">
        <v>0</v>
      </c>
      <c r="S33" s="155">
        <v>-18817</v>
      </c>
      <c r="U33" s="98">
        <v>-10000</v>
      </c>
      <c r="V33" s="98">
        <v>-69771</v>
      </c>
      <c r="X33" s="176">
        <v>-63700</v>
      </c>
      <c r="Y33" s="176">
        <f>-33618-9384</f>
        <v>-43002</v>
      </c>
      <c r="AA33" s="106">
        <v>-20000</v>
      </c>
      <c r="AB33" s="106">
        <v>0</v>
      </c>
    </row>
    <row r="34" spans="1:28" s="2" customFormat="1" ht="11.25" x14ac:dyDescent="0.2">
      <c r="A34" s="2">
        <v>4008</v>
      </c>
      <c r="B34" s="2" t="s">
        <v>48</v>
      </c>
      <c r="C34" s="98">
        <v>-8000</v>
      </c>
      <c r="D34" s="98">
        <v>0</v>
      </c>
      <c r="E34" s="48"/>
      <c r="F34" s="106">
        <v>-8000</v>
      </c>
      <c r="G34" s="106">
        <v>-18109</v>
      </c>
      <c r="I34" s="115">
        <v>-15000</v>
      </c>
      <c r="J34" s="115">
        <v>-8569</v>
      </c>
      <c r="L34" s="125">
        <v>-28100</v>
      </c>
      <c r="M34" s="125">
        <v>0</v>
      </c>
      <c r="O34" s="134">
        <v>-30000</v>
      </c>
      <c r="P34" s="134">
        <v>-11871</v>
      </c>
      <c r="Q34" s="48"/>
      <c r="R34" s="155">
        <v>-30000</v>
      </c>
      <c r="S34" s="155">
        <v>-20112.5</v>
      </c>
      <c r="U34" s="98">
        <v>-5000</v>
      </c>
      <c r="V34" s="98">
        <v>-13269</v>
      </c>
      <c r="X34" s="176">
        <v>-14500</v>
      </c>
      <c r="Y34" s="176">
        <v>-15510</v>
      </c>
      <c r="AA34" s="106">
        <v>-14750</v>
      </c>
      <c r="AB34" s="106">
        <v>0</v>
      </c>
    </row>
    <row r="35" spans="1:28" s="2" customFormat="1" ht="11.25" x14ac:dyDescent="0.2">
      <c r="A35" s="2">
        <v>4009</v>
      </c>
      <c r="B35" s="2" t="s">
        <v>190</v>
      </c>
      <c r="C35" s="98">
        <v>0</v>
      </c>
      <c r="D35" s="98">
        <v>0</v>
      </c>
      <c r="E35" s="48"/>
      <c r="F35" s="106">
        <v>0</v>
      </c>
      <c r="G35" s="106">
        <v>0</v>
      </c>
      <c r="I35" s="115">
        <v>-3000</v>
      </c>
      <c r="J35" s="115">
        <v>0</v>
      </c>
      <c r="L35" s="125">
        <v>0</v>
      </c>
      <c r="M35" s="125">
        <v>0</v>
      </c>
      <c r="O35" s="134">
        <v>0</v>
      </c>
      <c r="P35" s="134">
        <v>0</v>
      </c>
      <c r="Q35" s="48"/>
      <c r="R35" s="155">
        <v>0</v>
      </c>
      <c r="S35" s="155">
        <v>-1214</v>
      </c>
      <c r="U35" s="98">
        <v>-38000</v>
      </c>
      <c r="V35" s="98">
        <v>0</v>
      </c>
      <c r="X35" s="176">
        <v>0</v>
      </c>
      <c r="Y35" s="176">
        <v>0</v>
      </c>
      <c r="AA35" s="106">
        <v>-12720</v>
      </c>
      <c r="AB35" s="106">
        <v>0</v>
      </c>
    </row>
    <row r="36" spans="1:28" s="2" customFormat="1" ht="11.25" x14ac:dyDescent="0.2">
      <c r="A36" s="2">
        <v>4010</v>
      </c>
      <c r="B36" s="2" t="s">
        <v>229</v>
      </c>
      <c r="C36" s="98">
        <v>-8000</v>
      </c>
      <c r="D36" s="98">
        <v>-4000</v>
      </c>
      <c r="E36" s="48"/>
      <c r="F36" s="107" t="s">
        <v>37</v>
      </c>
      <c r="G36" s="106">
        <v>-4000</v>
      </c>
      <c r="I36" s="119">
        <f>'Spec. Konton-RES.ENH'!AO73</f>
        <v>0</v>
      </c>
      <c r="J36" s="119">
        <v>800</v>
      </c>
      <c r="L36" s="129">
        <v>0</v>
      </c>
      <c r="M36" s="129">
        <v>0</v>
      </c>
      <c r="O36" s="138">
        <v>-10000</v>
      </c>
      <c r="P36" s="138">
        <v>0</v>
      </c>
      <c r="Q36" s="48"/>
      <c r="R36" s="159">
        <v>-41000</v>
      </c>
      <c r="S36" s="159">
        <v>0</v>
      </c>
      <c r="U36" s="99">
        <v>0</v>
      </c>
      <c r="V36" s="99">
        <v>0</v>
      </c>
      <c r="X36" s="180">
        <v>0</v>
      </c>
      <c r="Y36" s="180">
        <v>0</v>
      </c>
      <c r="AA36" s="107">
        <v>0</v>
      </c>
      <c r="AB36" s="107">
        <v>0</v>
      </c>
    </row>
    <row r="37" spans="1:28" s="2" customFormat="1" ht="11.25" x14ac:dyDescent="0.2">
      <c r="A37" s="2">
        <v>4015</v>
      </c>
      <c r="B37" s="2" t="s">
        <v>212</v>
      </c>
      <c r="C37" s="100">
        <v>-3000</v>
      </c>
      <c r="D37" s="100">
        <v>-3440</v>
      </c>
      <c r="E37" s="51"/>
      <c r="F37" s="108">
        <v>-3000</v>
      </c>
      <c r="G37" s="108">
        <v>-12214</v>
      </c>
      <c r="H37" s="85"/>
      <c r="I37" s="116">
        <v>0</v>
      </c>
      <c r="J37" s="116">
        <v>0</v>
      </c>
      <c r="L37" s="126">
        <v>-3000</v>
      </c>
      <c r="M37" s="126">
        <v>0</v>
      </c>
      <c r="O37" s="135">
        <v>-5000</v>
      </c>
      <c r="P37" s="135">
        <v>0</v>
      </c>
      <c r="Q37" s="48"/>
      <c r="R37" s="156">
        <v>-5000</v>
      </c>
      <c r="S37" s="156">
        <v>-81238</v>
      </c>
      <c r="U37" s="100">
        <v>-64000</v>
      </c>
      <c r="V37" s="100">
        <v>-53424</v>
      </c>
      <c r="X37" s="177">
        <v>-52375</v>
      </c>
      <c r="Y37" s="177">
        <f>-40342-29806</f>
        <v>-70148</v>
      </c>
      <c r="AA37" s="108">
        <v>-33210</v>
      </c>
      <c r="AB37" s="108">
        <v>0</v>
      </c>
    </row>
    <row r="38" spans="1:28" s="2" customFormat="1" ht="11.25" hidden="1" x14ac:dyDescent="0.2">
      <c r="A38" s="2">
        <v>4016</v>
      </c>
      <c r="B38" s="2" t="s">
        <v>115</v>
      </c>
      <c r="C38" s="99" t="s">
        <v>37</v>
      </c>
      <c r="D38" s="99" t="s">
        <v>37</v>
      </c>
      <c r="E38" s="50"/>
      <c r="F38" s="107" t="s">
        <v>37</v>
      </c>
      <c r="G38" s="107" t="s">
        <v>37</v>
      </c>
      <c r="I38" s="115">
        <v>0</v>
      </c>
      <c r="J38" s="115">
        <v>0</v>
      </c>
      <c r="L38" s="125">
        <v>0</v>
      </c>
      <c r="M38" s="125">
        <v>0</v>
      </c>
      <c r="O38" s="134">
        <v>0</v>
      </c>
      <c r="P38" s="134">
        <v>0</v>
      </c>
      <c r="Q38" s="48"/>
      <c r="R38" s="155">
        <v>0</v>
      </c>
      <c r="S38" s="155">
        <v>0</v>
      </c>
      <c r="U38" s="98">
        <v>0</v>
      </c>
      <c r="V38" s="98">
        <v>0</v>
      </c>
      <c r="X38" s="176">
        <v>0</v>
      </c>
      <c r="Y38" s="176">
        <v>0</v>
      </c>
      <c r="AA38" s="106">
        <v>0</v>
      </c>
      <c r="AB38" s="106">
        <v>0</v>
      </c>
    </row>
    <row r="39" spans="1:28" s="2" customFormat="1" ht="11.25" x14ac:dyDescent="0.2">
      <c r="C39" s="102">
        <f>SUM(C30:C38)</f>
        <v>-64400</v>
      </c>
      <c r="D39" s="102">
        <f>SUM(D30:D38)</f>
        <v>-18778</v>
      </c>
      <c r="E39" s="48"/>
      <c r="F39" s="110">
        <f>SUM(F30:F38)</f>
        <v>-26900</v>
      </c>
      <c r="G39" s="110">
        <f>SUM(G30:G38)</f>
        <v>-48304</v>
      </c>
      <c r="H39" s="1"/>
      <c r="I39" s="117">
        <f>SUM(I30:I38)</f>
        <v>-110200</v>
      </c>
      <c r="J39" s="117">
        <f>SUM(J30:J38)</f>
        <v>-21257</v>
      </c>
      <c r="L39" s="127">
        <f>SUM(L30:L38)</f>
        <v>-130000</v>
      </c>
      <c r="M39" s="127">
        <f>SUM(M30:M38)</f>
        <v>-20355</v>
      </c>
      <c r="O39" s="136">
        <f>SUM(O30:O38)</f>
        <v>-159000</v>
      </c>
      <c r="P39" s="136">
        <f>SUM(P30:P38)</f>
        <v>-110055</v>
      </c>
      <c r="Q39" s="48"/>
      <c r="R39" s="157">
        <f>SUM(R30:R38)</f>
        <v>-200000</v>
      </c>
      <c r="S39" s="157">
        <f>SUM(S30:S38)</f>
        <v>-212690.5</v>
      </c>
      <c r="U39" s="102">
        <f>SUM(U30:U38)</f>
        <v>-162000</v>
      </c>
      <c r="V39" s="102">
        <f>SUM(V30:V38)</f>
        <v>-268576</v>
      </c>
      <c r="X39" s="178">
        <f>SUM(X30:X38)</f>
        <v>-289175</v>
      </c>
      <c r="Y39" s="178">
        <f>SUM(Y30:Y38)</f>
        <v>-243743</v>
      </c>
      <c r="AA39" s="110">
        <f>SUM(AA30:AA38)</f>
        <v>-286910</v>
      </c>
      <c r="AB39" s="110">
        <f>SUM(AB30:AB38)</f>
        <v>0</v>
      </c>
    </row>
    <row r="40" spans="1:28" s="2" customFormat="1" ht="11.25" x14ac:dyDescent="0.2">
      <c r="C40" s="98"/>
      <c r="D40" s="98"/>
      <c r="E40" s="48"/>
      <c r="F40" s="106"/>
      <c r="G40" s="106"/>
      <c r="I40" s="115"/>
      <c r="J40" s="115"/>
      <c r="L40" s="125"/>
      <c r="M40" s="125"/>
      <c r="O40" s="134"/>
      <c r="P40" s="134"/>
      <c r="Q40" s="48"/>
      <c r="R40" s="155"/>
      <c r="S40" s="155"/>
      <c r="U40" s="98"/>
      <c r="V40" s="98"/>
      <c r="X40" s="176"/>
      <c r="Y40" s="176"/>
      <c r="AA40" s="106"/>
      <c r="AB40" s="106"/>
    </row>
    <row r="41" spans="1:28" s="2" customFormat="1" ht="11.25" x14ac:dyDescent="0.2">
      <c r="A41" s="1" t="s">
        <v>49</v>
      </c>
      <c r="C41" s="98"/>
      <c r="D41" s="98"/>
      <c r="E41" s="48"/>
      <c r="F41" s="106"/>
      <c r="G41" s="106"/>
      <c r="I41" s="115"/>
      <c r="J41" s="115"/>
      <c r="L41" s="125"/>
      <c r="M41" s="125"/>
      <c r="O41" s="134"/>
      <c r="P41" s="134"/>
      <c r="Q41" s="48"/>
      <c r="R41" s="155"/>
      <c r="S41" s="155"/>
      <c r="U41" s="98"/>
      <c r="V41" s="98"/>
      <c r="X41" s="176"/>
      <c r="Y41" s="176"/>
      <c r="AA41" s="106"/>
      <c r="AB41" s="106"/>
    </row>
    <row r="42" spans="1:28" s="2" customFormat="1" ht="11.25" x14ac:dyDescent="0.2">
      <c r="A42" s="2">
        <v>5001</v>
      </c>
      <c r="B42" s="2" t="s">
        <v>50</v>
      </c>
      <c r="C42" s="98">
        <v>-1000</v>
      </c>
      <c r="D42" s="98">
        <v>0</v>
      </c>
      <c r="E42" s="48"/>
      <c r="F42" s="106">
        <v>-1000</v>
      </c>
      <c r="G42" s="106">
        <v>4000</v>
      </c>
      <c r="I42" s="115">
        <v>-4000</v>
      </c>
      <c r="J42" s="115">
        <v>0</v>
      </c>
      <c r="L42" s="125">
        <v>-14000</v>
      </c>
      <c r="M42" s="125">
        <v>0</v>
      </c>
      <c r="O42" s="134">
        <v>-4000</v>
      </c>
      <c r="P42" s="134">
        <v>0</v>
      </c>
      <c r="Q42" s="48"/>
      <c r="R42" s="155">
        <v>-4000</v>
      </c>
      <c r="S42" s="155">
        <v>-9941</v>
      </c>
      <c r="U42" s="98">
        <v>-23000</v>
      </c>
      <c r="V42" s="98">
        <v>0</v>
      </c>
      <c r="X42" s="176">
        <v>0</v>
      </c>
      <c r="Y42" s="176">
        <v>-3840</v>
      </c>
      <c r="AA42" s="106">
        <v>0</v>
      </c>
      <c r="AB42" s="106">
        <v>0</v>
      </c>
    </row>
    <row r="43" spans="1:28" s="2" customFormat="1" ht="11.25" x14ac:dyDescent="0.2">
      <c r="A43" s="2">
        <v>5002</v>
      </c>
      <c r="B43" s="2" t="s">
        <v>51</v>
      </c>
      <c r="C43" s="98">
        <v>0</v>
      </c>
      <c r="D43" s="98">
        <v>-20372</v>
      </c>
      <c r="E43" s="48"/>
      <c r="F43" s="106">
        <v>5000</v>
      </c>
      <c r="G43" s="106">
        <v>-8538</v>
      </c>
      <c r="I43" s="115">
        <f>'Spec. Konton-RES.ENH'!AR73</f>
        <v>-36500</v>
      </c>
      <c r="J43" s="115">
        <v>-375</v>
      </c>
      <c r="L43" s="125">
        <v>-20000</v>
      </c>
      <c r="M43" s="125">
        <v>0</v>
      </c>
      <c r="O43" s="134">
        <v>-20000</v>
      </c>
      <c r="P43" s="134">
        <v>-12063</v>
      </c>
      <c r="Q43" s="48"/>
      <c r="R43" s="155">
        <v>-20000</v>
      </c>
      <c r="S43" s="155">
        <v>-11275.5</v>
      </c>
      <c r="U43" s="98">
        <v>-3000</v>
      </c>
      <c r="V43" s="98">
        <v>-7832</v>
      </c>
      <c r="X43" s="176">
        <v>-4000</v>
      </c>
      <c r="Y43" s="176">
        <f>-16210-2862-16810</f>
        <v>-35882</v>
      </c>
      <c r="AA43" s="106">
        <v>-36500</v>
      </c>
      <c r="AB43" s="106">
        <v>0</v>
      </c>
    </row>
    <row r="44" spans="1:28" s="2" customFormat="1" ht="11.25" x14ac:dyDescent="0.2">
      <c r="A44" s="2">
        <v>5003</v>
      </c>
      <c r="B44" s="2" t="s">
        <v>7</v>
      </c>
      <c r="C44" s="98">
        <v>-15000</v>
      </c>
      <c r="D44" s="98">
        <v>-10212.39</v>
      </c>
      <c r="E44" s="48"/>
      <c r="F44" s="106">
        <f>-15000+6500</f>
        <v>-8500</v>
      </c>
      <c r="G44" s="106">
        <v>-738</v>
      </c>
      <c r="I44" s="115">
        <f>'Spec. Konton-RES.ENH'!AS73</f>
        <v>15500</v>
      </c>
      <c r="J44" s="115">
        <v>-6731</v>
      </c>
      <c r="L44" s="125">
        <v>-9500</v>
      </c>
      <c r="M44" s="125">
        <v>258</v>
      </c>
      <c r="O44" s="134">
        <v>-9500</v>
      </c>
      <c r="P44" s="134">
        <v>-22767</v>
      </c>
      <c r="Q44" s="48"/>
      <c r="R44" s="155">
        <v>-11000</v>
      </c>
      <c r="S44" s="155">
        <v>-32291</v>
      </c>
      <c r="U44" s="98">
        <v>-18000</v>
      </c>
      <c r="V44" s="98">
        <v>-50079</v>
      </c>
      <c r="X44" s="176">
        <v>32000</v>
      </c>
      <c r="Y44" s="176">
        <v>12216</v>
      </c>
      <c r="AA44" s="106">
        <v>15500</v>
      </c>
      <c r="AB44" s="106">
        <v>0</v>
      </c>
    </row>
    <row r="45" spans="1:28" s="2" customFormat="1" ht="11.25" x14ac:dyDescent="0.2">
      <c r="A45" s="2">
        <v>5004</v>
      </c>
      <c r="B45" s="2" t="s">
        <v>4</v>
      </c>
      <c r="C45" s="99">
        <v>-5000</v>
      </c>
      <c r="D45" s="98">
        <v>-1090</v>
      </c>
      <c r="E45" s="48"/>
      <c r="F45" s="107">
        <v>-3000</v>
      </c>
      <c r="G45" s="106">
        <v>2836</v>
      </c>
      <c r="I45" s="119">
        <f>'Spec. Konton-RES.ENH'!AT73</f>
        <v>-3900</v>
      </c>
      <c r="J45" s="119">
        <v>-2618</v>
      </c>
      <c r="L45" s="129">
        <v>-3500</v>
      </c>
      <c r="M45" s="129">
        <v>-1063</v>
      </c>
      <c r="O45" s="138">
        <v>-3500</v>
      </c>
      <c r="P45" s="138">
        <v>-5331</v>
      </c>
      <c r="Q45" s="48"/>
      <c r="R45" s="159">
        <v>-3500</v>
      </c>
      <c r="S45" s="159">
        <v>-3042.5</v>
      </c>
      <c r="U45" s="99">
        <v>0</v>
      </c>
      <c r="V45" s="99">
        <v>-4889</v>
      </c>
      <c r="X45" s="180">
        <v>-4900</v>
      </c>
      <c r="Y45" s="180">
        <v>-3775</v>
      </c>
      <c r="AA45" s="107">
        <v>-3900</v>
      </c>
      <c r="AB45" s="107">
        <v>0</v>
      </c>
    </row>
    <row r="46" spans="1:28" s="2" customFormat="1" ht="11.25" x14ac:dyDescent="0.2">
      <c r="A46" s="2">
        <v>5006</v>
      </c>
      <c r="B46" s="2" t="s">
        <v>158</v>
      </c>
      <c r="C46" s="99">
        <v>-8000</v>
      </c>
      <c r="D46" s="98">
        <v>-8000</v>
      </c>
      <c r="E46" s="48"/>
      <c r="F46" s="107">
        <v>-8000</v>
      </c>
      <c r="G46" s="106">
        <v>0</v>
      </c>
      <c r="H46" s="16"/>
      <c r="I46" s="119">
        <f>'Spec. Konton-RES.ENH'!AU73</f>
        <v>-12500</v>
      </c>
      <c r="J46" s="119">
        <f>'Spec. Konton-RES.ENH'!AV73</f>
        <v>-21500</v>
      </c>
      <c r="L46" s="129">
        <v>-9000</v>
      </c>
      <c r="M46" s="129">
        <f>'Spec. Konton-RES.ENH'!AY73</f>
        <v>-4380</v>
      </c>
      <c r="O46" s="138">
        <v>-9000</v>
      </c>
      <c r="P46" s="138">
        <f>'Spec. Konton-RES.ENH'!BB73</f>
        <v>0</v>
      </c>
      <c r="Q46" s="48"/>
      <c r="R46" s="159">
        <v>-20000</v>
      </c>
      <c r="S46" s="159">
        <v>-11250</v>
      </c>
      <c r="U46" s="99">
        <v>-12000</v>
      </c>
      <c r="V46" s="99">
        <v>-12500</v>
      </c>
      <c r="X46" s="180">
        <v>-12500</v>
      </c>
      <c r="Y46" s="180">
        <v>-11250</v>
      </c>
      <c r="AA46" s="107">
        <v>-12500</v>
      </c>
      <c r="AB46" s="107">
        <v>0</v>
      </c>
    </row>
    <row r="47" spans="1:28" s="2" customFormat="1" ht="11.25" hidden="1" x14ac:dyDescent="0.2">
      <c r="A47" s="2">
        <v>5008</v>
      </c>
      <c r="B47" s="2" t="s">
        <v>52</v>
      </c>
      <c r="C47" s="98">
        <v>0</v>
      </c>
      <c r="D47" s="98"/>
      <c r="E47" s="48"/>
      <c r="F47" s="106">
        <v>0</v>
      </c>
      <c r="G47" s="106"/>
      <c r="I47" s="115">
        <v>0</v>
      </c>
      <c r="J47" s="115">
        <v>0</v>
      </c>
      <c r="L47" s="125">
        <v>0</v>
      </c>
      <c r="M47" s="125">
        <v>0</v>
      </c>
      <c r="O47" s="134">
        <v>0</v>
      </c>
      <c r="P47" s="134">
        <v>0</v>
      </c>
      <c r="Q47" s="48"/>
      <c r="R47" s="155">
        <v>0</v>
      </c>
      <c r="S47" s="155">
        <v>0</v>
      </c>
      <c r="U47" s="98">
        <v>0</v>
      </c>
      <c r="V47" s="98">
        <v>0</v>
      </c>
      <c r="X47" s="176">
        <v>0</v>
      </c>
      <c r="Y47" s="176">
        <v>0</v>
      </c>
      <c r="AA47" s="106">
        <v>0</v>
      </c>
      <c r="AB47" s="106">
        <v>0</v>
      </c>
    </row>
    <row r="48" spans="1:28" s="2" customFormat="1" ht="11.25" hidden="1" x14ac:dyDescent="0.2">
      <c r="A48" s="2">
        <v>5009</v>
      </c>
      <c r="B48" s="2" t="s">
        <v>8</v>
      </c>
      <c r="C48" s="98">
        <v>0</v>
      </c>
      <c r="D48" s="98"/>
      <c r="E48" s="48"/>
      <c r="F48" s="106">
        <v>0</v>
      </c>
      <c r="G48" s="106"/>
      <c r="I48" s="115">
        <v>0</v>
      </c>
      <c r="J48" s="115">
        <v>0</v>
      </c>
      <c r="L48" s="125">
        <v>0</v>
      </c>
      <c r="M48" s="125">
        <v>0</v>
      </c>
      <c r="O48" s="134">
        <v>0</v>
      </c>
      <c r="P48" s="134">
        <v>0</v>
      </c>
      <c r="Q48" s="48"/>
      <c r="R48" s="155">
        <v>0</v>
      </c>
      <c r="S48" s="155">
        <v>0</v>
      </c>
      <c r="U48" s="98">
        <v>0</v>
      </c>
      <c r="V48" s="98">
        <v>0</v>
      </c>
      <c r="X48" s="176">
        <v>0</v>
      </c>
      <c r="Y48" s="176">
        <v>0</v>
      </c>
      <c r="AA48" s="106">
        <v>0</v>
      </c>
      <c r="AB48" s="106">
        <v>0</v>
      </c>
    </row>
    <row r="49" spans="1:28" s="2" customFormat="1" ht="11.25" x14ac:dyDescent="0.2">
      <c r="A49" s="2">
        <v>5010</v>
      </c>
      <c r="B49" s="2" t="s">
        <v>159</v>
      </c>
      <c r="C49" s="101">
        <v>-10000</v>
      </c>
      <c r="D49" s="101">
        <v>0</v>
      </c>
      <c r="E49" s="51"/>
      <c r="F49" s="109">
        <v>0</v>
      </c>
      <c r="G49" s="109">
        <v>0</v>
      </c>
      <c r="H49" s="85"/>
      <c r="I49" s="118">
        <f>'Spec. Konton-RES.ENH'!AV73</f>
        <v>-21500</v>
      </c>
      <c r="J49" s="118">
        <v>0</v>
      </c>
      <c r="K49" s="23"/>
      <c r="L49" s="128">
        <f>'Spec. Konton-RES.ENH'!AY73</f>
        <v>-4380</v>
      </c>
      <c r="M49" s="128">
        <v>0</v>
      </c>
      <c r="O49" s="137">
        <f>'Spec. Konton-RES.ENH'!BB73</f>
        <v>0</v>
      </c>
      <c r="P49" s="137">
        <v>0</v>
      </c>
      <c r="Q49" s="48"/>
      <c r="R49" s="158">
        <f>'Spec. Konton-RES.ENH'!BE73</f>
        <v>0</v>
      </c>
      <c r="S49" s="158">
        <v>-12788</v>
      </c>
      <c r="U49" s="101">
        <f>'Spec. Konton-RES.ENH'!BH73</f>
        <v>0</v>
      </c>
      <c r="V49" s="101">
        <v>-35931</v>
      </c>
      <c r="X49" s="179">
        <v>-36075</v>
      </c>
      <c r="Y49" s="179">
        <v>-19320</v>
      </c>
      <c r="AA49" s="109">
        <v>-21500</v>
      </c>
      <c r="AB49" s="109">
        <v>0</v>
      </c>
    </row>
    <row r="50" spans="1:28" s="2" customFormat="1" ht="11.25" x14ac:dyDescent="0.2">
      <c r="B50" s="1"/>
      <c r="C50" s="102">
        <f>SUM(C42:C49)</f>
        <v>-39000</v>
      </c>
      <c r="D50" s="102">
        <f>SUM(D42:D49)</f>
        <v>-39674.39</v>
      </c>
      <c r="E50" s="49"/>
      <c r="F50" s="110">
        <f>SUM(F42:F49)</f>
        <v>-15500</v>
      </c>
      <c r="G50" s="110">
        <f>SUM(G42:G49)</f>
        <v>-2440</v>
      </c>
      <c r="H50" s="1"/>
      <c r="I50" s="117">
        <f>SUM(I42:I49)</f>
        <v>-62900</v>
      </c>
      <c r="J50" s="117">
        <f>SUM(J42:J49)</f>
        <v>-31224</v>
      </c>
      <c r="L50" s="127">
        <f>SUM(L42:L49)</f>
        <v>-60380</v>
      </c>
      <c r="M50" s="127">
        <f>SUM(M42:M49)</f>
        <v>-5185</v>
      </c>
      <c r="O50" s="136">
        <f>SUM(O42:O49)</f>
        <v>-46000</v>
      </c>
      <c r="P50" s="136">
        <f>SUM(P42:P49)</f>
        <v>-40161</v>
      </c>
      <c r="Q50" s="48"/>
      <c r="R50" s="157">
        <f>SUM(R42:R49)</f>
        <v>-58500</v>
      </c>
      <c r="S50" s="157">
        <f>SUM(S42:S49)</f>
        <v>-80588</v>
      </c>
      <c r="U50" s="102">
        <f>SUM(U42:U49)</f>
        <v>-56000</v>
      </c>
      <c r="V50" s="102">
        <f>SUM(V42:V49)</f>
        <v>-111231</v>
      </c>
      <c r="X50" s="178">
        <f>SUM(X42:X49)</f>
        <v>-25475</v>
      </c>
      <c r="Y50" s="178">
        <f>SUM(Y42:Y49)</f>
        <v>-61851</v>
      </c>
      <c r="AA50" s="110">
        <f>SUM(AA42:AA49)</f>
        <v>-58900</v>
      </c>
      <c r="AB50" s="110">
        <f>SUM(AB42:AB49)</f>
        <v>0</v>
      </c>
    </row>
    <row r="51" spans="1:28" s="2" customFormat="1" ht="11.25" x14ac:dyDescent="0.2">
      <c r="C51" s="98"/>
      <c r="D51" s="98"/>
      <c r="E51" s="48"/>
      <c r="F51" s="106"/>
      <c r="G51" s="106"/>
      <c r="I51" s="115"/>
      <c r="J51" s="115"/>
      <c r="L51" s="125"/>
      <c r="M51" s="125"/>
      <c r="N51" s="16"/>
      <c r="O51" s="134"/>
      <c r="P51" s="134"/>
      <c r="Q51" s="48"/>
      <c r="R51" s="155"/>
      <c r="S51" s="155"/>
      <c r="U51" s="98"/>
      <c r="V51" s="98"/>
      <c r="X51" s="176"/>
      <c r="Y51" s="176"/>
      <c r="AA51" s="106"/>
      <c r="AB51" s="106"/>
    </row>
    <row r="52" spans="1:28" s="2" customFormat="1" ht="11.25" x14ac:dyDescent="0.2">
      <c r="A52" s="1" t="s">
        <v>9</v>
      </c>
      <c r="C52" s="98"/>
      <c r="D52" s="98"/>
      <c r="E52" s="48"/>
      <c r="F52" s="106"/>
      <c r="G52" s="106"/>
      <c r="I52" s="115"/>
      <c r="J52" s="115"/>
      <c r="L52" s="125"/>
      <c r="M52" s="125"/>
      <c r="O52" s="134"/>
      <c r="P52" s="134"/>
      <c r="Q52" s="48"/>
      <c r="R52" s="155"/>
      <c r="S52" s="155"/>
      <c r="U52" s="98"/>
      <c r="V52" s="98"/>
      <c r="X52" s="176"/>
      <c r="Y52" s="176"/>
      <c r="AA52" s="106"/>
      <c r="AB52" s="106"/>
    </row>
    <row r="53" spans="1:28" s="2" customFormat="1" ht="11.25" x14ac:dyDescent="0.2">
      <c r="A53" s="2">
        <v>6001</v>
      </c>
      <c r="B53" s="2" t="s">
        <v>53</v>
      </c>
      <c r="C53" s="98">
        <v>-5000</v>
      </c>
      <c r="D53" s="98">
        <v>-1256</v>
      </c>
      <c r="E53" s="48"/>
      <c r="F53" s="106">
        <v>-2500</v>
      </c>
      <c r="G53" s="106">
        <v>0</v>
      </c>
      <c r="I53" s="115">
        <f>'Spec. Konton-RES.ENH'!AW73</f>
        <v>-2500</v>
      </c>
      <c r="J53" s="115">
        <f>'Spec. Konton-RES.ENH'!AX73</f>
        <v>-9320</v>
      </c>
      <c r="K53" s="20"/>
      <c r="L53" s="125">
        <v>-2500</v>
      </c>
      <c r="M53" s="125">
        <v>0</v>
      </c>
      <c r="N53" s="21"/>
      <c r="O53" s="134">
        <v>-2500</v>
      </c>
      <c r="P53" s="134">
        <v>-1242</v>
      </c>
      <c r="Q53" s="48"/>
      <c r="R53" s="155">
        <v>-2500</v>
      </c>
      <c r="S53" s="155">
        <v>0</v>
      </c>
      <c r="U53" s="98">
        <v>-2500</v>
      </c>
      <c r="V53" s="98">
        <v>0</v>
      </c>
      <c r="X53" s="176">
        <v>-2500</v>
      </c>
      <c r="Y53" s="176">
        <v>0</v>
      </c>
      <c r="AA53" s="106">
        <v>-2500</v>
      </c>
      <c r="AB53" s="106">
        <v>0</v>
      </c>
    </row>
    <row r="54" spans="1:28" s="2" customFormat="1" ht="11.25" x14ac:dyDescent="0.2">
      <c r="A54" s="2">
        <v>6009</v>
      </c>
      <c r="B54" s="2" t="s">
        <v>221</v>
      </c>
      <c r="C54" s="99" t="s">
        <v>37</v>
      </c>
      <c r="D54" s="99">
        <v>0</v>
      </c>
      <c r="E54" s="50"/>
      <c r="F54" s="107">
        <v>0</v>
      </c>
      <c r="G54" s="107">
        <v>0</v>
      </c>
      <c r="I54" s="119">
        <v>0</v>
      </c>
      <c r="J54" s="119">
        <v>0</v>
      </c>
      <c r="K54" s="20"/>
      <c r="L54" s="129">
        <v>0</v>
      </c>
      <c r="M54" s="129">
        <v>0</v>
      </c>
      <c r="N54" s="21"/>
      <c r="O54" s="138">
        <v>0</v>
      </c>
      <c r="P54" s="138">
        <v>0</v>
      </c>
      <c r="Q54" s="48"/>
      <c r="R54" s="159">
        <v>0</v>
      </c>
      <c r="S54" s="159">
        <v>-15708.2</v>
      </c>
      <c r="U54" s="99">
        <v>0</v>
      </c>
      <c r="V54" s="99">
        <v>-30652</v>
      </c>
      <c r="X54" s="180">
        <v>-21000</v>
      </c>
      <c r="Y54" s="180">
        <v>-22177</v>
      </c>
      <c r="AA54" s="107">
        <v>-9320</v>
      </c>
      <c r="AB54" s="107">
        <v>0</v>
      </c>
    </row>
    <row r="55" spans="1:28" s="2" customFormat="1" ht="11.25" x14ac:dyDescent="0.2">
      <c r="A55" s="2">
        <v>6010</v>
      </c>
      <c r="B55" s="2" t="s">
        <v>222</v>
      </c>
      <c r="C55" s="99" t="s">
        <v>37</v>
      </c>
      <c r="D55" s="99" t="s">
        <v>37</v>
      </c>
      <c r="E55" s="48"/>
      <c r="F55" s="107">
        <v>0</v>
      </c>
      <c r="G55" s="107">
        <v>0</v>
      </c>
      <c r="I55" s="119">
        <f>'Spec. Konton-RES.ENH'!AY73</f>
        <v>-4380</v>
      </c>
      <c r="J55" s="119">
        <v>0</v>
      </c>
      <c r="K55" s="20"/>
      <c r="L55" s="129">
        <f>'Spec. Konton-RES.ENH'!BB73</f>
        <v>0</v>
      </c>
      <c r="M55" s="129">
        <v>0</v>
      </c>
      <c r="N55" s="21"/>
      <c r="O55" s="138">
        <v>0</v>
      </c>
      <c r="P55" s="138">
        <v>0</v>
      </c>
      <c r="Q55" s="48"/>
      <c r="R55" s="159">
        <v>0</v>
      </c>
      <c r="S55" s="159">
        <v>-8438</v>
      </c>
      <c r="U55" s="99">
        <v>0</v>
      </c>
      <c r="V55" s="99">
        <v>0</v>
      </c>
      <c r="X55" s="180">
        <v>-12500</v>
      </c>
      <c r="Y55" s="180">
        <v>0</v>
      </c>
      <c r="AA55" s="107">
        <v>-4380</v>
      </c>
      <c r="AB55" s="107">
        <v>0</v>
      </c>
    </row>
    <row r="56" spans="1:28" s="2" customFormat="1" ht="11.25" x14ac:dyDescent="0.2">
      <c r="A56" s="2">
        <v>6011</v>
      </c>
      <c r="B56" s="2" t="s">
        <v>54</v>
      </c>
      <c r="C56" s="98">
        <v>11680</v>
      </c>
      <c r="D56" s="98">
        <v>5700</v>
      </c>
      <c r="E56" s="48"/>
      <c r="F56" s="106">
        <v>1500</v>
      </c>
      <c r="G56" s="106">
        <v>-4680</v>
      </c>
      <c r="I56" s="115">
        <f>'Spec. Konton-RES.ENH'!AZ73</f>
        <v>-7780</v>
      </c>
      <c r="J56" s="115">
        <v>5831</v>
      </c>
      <c r="K56" s="22"/>
      <c r="L56" s="125">
        <v>1500</v>
      </c>
      <c r="M56" s="125">
        <v>-4900</v>
      </c>
      <c r="O56" s="134">
        <v>1500</v>
      </c>
      <c r="P56" s="134">
        <v>0</v>
      </c>
      <c r="Q56" s="48"/>
      <c r="R56" s="155">
        <v>1500</v>
      </c>
      <c r="S56" s="155">
        <v>-11300</v>
      </c>
      <c r="U56" s="98">
        <v>0</v>
      </c>
      <c r="V56" s="98">
        <v>0</v>
      </c>
      <c r="X56" s="176">
        <v>0</v>
      </c>
      <c r="Y56" s="176">
        <v>-470</v>
      </c>
      <c r="AA56" s="106">
        <v>-7780</v>
      </c>
      <c r="AB56" s="106">
        <v>0</v>
      </c>
    </row>
    <row r="57" spans="1:28" s="2" customFormat="1" ht="11.25" x14ac:dyDescent="0.2">
      <c r="A57" s="2">
        <v>6012</v>
      </c>
      <c r="B57" s="2" t="s">
        <v>55</v>
      </c>
      <c r="C57" s="98">
        <v>4280</v>
      </c>
      <c r="D57" s="98">
        <v>0</v>
      </c>
      <c r="E57" s="48"/>
      <c r="F57" s="106">
        <v>-500</v>
      </c>
      <c r="G57" s="106">
        <v>0</v>
      </c>
      <c r="I57" s="115">
        <f>'Spec. Konton-RES.ENH'!BA73</f>
        <v>0</v>
      </c>
      <c r="J57" s="115">
        <f>'Spec. Konton-RES.ENH'!BB73</f>
        <v>0</v>
      </c>
      <c r="K57" s="23"/>
      <c r="L57" s="125">
        <v>-500</v>
      </c>
      <c r="M57" s="125">
        <v>-6500</v>
      </c>
      <c r="O57" s="134">
        <v>-500</v>
      </c>
      <c r="P57" s="134">
        <v>0</v>
      </c>
      <c r="Q57" s="48"/>
      <c r="R57" s="155">
        <v>-500</v>
      </c>
      <c r="S57" s="155">
        <v>0</v>
      </c>
      <c r="U57" s="98">
        <v>0</v>
      </c>
      <c r="V57" s="98">
        <v>-8000</v>
      </c>
      <c r="X57" s="176">
        <v>0</v>
      </c>
      <c r="Y57" s="176">
        <v>0</v>
      </c>
      <c r="AA57" s="106">
        <v>0</v>
      </c>
      <c r="AB57" s="106">
        <v>0</v>
      </c>
    </row>
    <row r="58" spans="1:28" s="2" customFormat="1" ht="11.25" x14ac:dyDescent="0.2">
      <c r="A58" s="2">
        <v>6013</v>
      </c>
      <c r="B58" s="2" t="s">
        <v>161</v>
      </c>
      <c r="C58" s="98">
        <v>-9000</v>
      </c>
      <c r="D58" s="99">
        <v>-6000</v>
      </c>
      <c r="E58" s="48"/>
      <c r="F58" s="107" t="s">
        <v>37</v>
      </c>
      <c r="G58" s="107">
        <v>0</v>
      </c>
      <c r="I58" s="119">
        <f>'Spec. Konton-RES.ENH'!BB73</f>
        <v>0</v>
      </c>
      <c r="J58" s="119">
        <v>0</v>
      </c>
      <c r="K58" s="23"/>
      <c r="L58" s="129">
        <v>0</v>
      </c>
      <c r="M58" s="129">
        <v>0</v>
      </c>
      <c r="O58" s="138">
        <v>0</v>
      </c>
      <c r="P58" s="138">
        <v>0</v>
      </c>
      <c r="Q58" s="48"/>
      <c r="R58" s="159">
        <v>0</v>
      </c>
      <c r="S58" s="159">
        <v>0</v>
      </c>
      <c r="U58" s="99">
        <v>0</v>
      </c>
      <c r="V58" s="99">
        <v>0</v>
      </c>
      <c r="X58" s="180">
        <v>0</v>
      </c>
      <c r="Y58" s="180">
        <v>0</v>
      </c>
      <c r="AA58" s="107">
        <v>0</v>
      </c>
      <c r="AB58" s="107">
        <v>0</v>
      </c>
    </row>
    <row r="59" spans="1:28" s="2" customFormat="1" ht="11.25" x14ac:dyDescent="0.2">
      <c r="A59" s="2">
        <v>6014</v>
      </c>
      <c r="B59" s="2" t="s">
        <v>160</v>
      </c>
      <c r="C59" s="98">
        <v>-8460</v>
      </c>
      <c r="D59" s="98">
        <v>0</v>
      </c>
      <c r="E59" s="48"/>
      <c r="F59" s="106">
        <v>-7000</v>
      </c>
      <c r="G59" s="106">
        <v>-5299</v>
      </c>
      <c r="I59" s="115">
        <f>'Spec. Konton-RES.ENH'!BC73</f>
        <v>0</v>
      </c>
      <c r="J59" s="115">
        <v>0</v>
      </c>
      <c r="K59" s="23"/>
      <c r="L59" s="125">
        <v>-16200</v>
      </c>
      <c r="M59" s="125">
        <v>0</v>
      </c>
      <c r="O59" s="134">
        <v>-16200</v>
      </c>
      <c r="P59" s="134">
        <v>0</v>
      </c>
      <c r="Q59" s="48"/>
      <c r="R59" s="155">
        <v>-16200</v>
      </c>
      <c r="S59" s="155">
        <v>0</v>
      </c>
      <c r="U59" s="98">
        <v>0</v>
      </c>
      <c r="V59" s="98">
        <v>0</v>
      </c>
      <c r="X59" s="176">
        <v>0</v>
      </c>
      <c r="Y59" s="176">
        <v>0</v>
      </c>
      <c r="AA59" s="106">
        <v>0</v>
      </c>
      <c r="AB59" s="106">
        <v>0</v>
      </c>
    </row>
    <row r="60" spans="1:28" s="2" customFormat="1" ht="11.25" x14ac:dyDescent="0.2">
      <c r="A60" s="2">
        <v>6015</v>
      </c>
      <c r="B60" s="2" t="s">
        <v>116</v>
      </c>
      <c r="C60" s="98">
        <v>-3000</v>
      </c>
      <c r="D60" s="98">
        <v>-1350</v>
      </c>
      <c r="E60" s="48"/>
      <c r="F60" s="106">
        <v>-2500</v>
      </c>
      <c r="G60" s="106">
        <v>0</v>
      </c>
      <c r="I60" s="115">
        <f>'Spec. Konton-RES.ENH'!BD73</f>
        <v>0</v>
      </c>
      <c r="J60" s="115">
        <v>0</v>
      </c>
      <c r="K60" s="23"/>
      <c r="L60" s="125">
        <v>-2500</v>
      </c>
      <c r="M60" s="125">
        <v>0</v>
      </c>
      <c r="O60" s="134">
        <v>-2500</v>
      </c>
      <c r="P60" s="134">
        <v>0</v>
      </c>
      <c r="Q60" s="48"/>
      <c r="R60" s="155">
        <v>-2500</v>
      </c>
      <c r="S60" s="155">
        <v>0</v>
      </c>
      <c r="U60" s="98">
        <v>0</v>
      </c>
      <c r="V60" s="98">
        <v>8636</v>
      </c>
      <c r="X60" s="176">
        <v>0</v>
      </c>
      <c r="Y60" s="176">
        <v>0</v>
      </c>
      <c r="AA60" s="106">
        <v>0</v>
      </c>
      <c r="AB60" s="106">
        <v>0</v>
      </c>
    </row>
    <row r="61" spans="1:28" s="2" customFormat="1" ht="11.25" x14ac:dyDescent="0.2">
      <c r="A61" s="2">
        <v>6017</v>
      </c>
      <c r="B61" s="2" t="s">
        <v>13</v>
      </c>
      <c r="C61" s="99" t="s">
        <v>37</v>
      </c>
      <c r="D61" s="98">
        <v>0</v>
      </c>
      <c r="E61" s="51"/>
      <c r="F61" s="107">
        <v>-15000</v>
      </c>
      <c r="G61" s="106">
        <v>-7976</v>
      </c>
      <c r="H61" s="85"/>
      <c r="I61" s="119">
        <f>'Spec. Konton-RES.ENH'!BE73</f>
        <v>0</v>
      </c>
      <c r="J61" s="119">
        <v>-2000</v>
      </c>
      <c r="K61" s="23"/>
      <c r="L61" s="129">
        <v>-15000</v>
      </c>
      <c r="M61" s="129">
        <v>0</v>
      </c>
      <c r="O61" s="138">
        <v>0</v>
      </c>
      <c r="P61" s="138">
        <v>0</v>
      </c>
      <c r="Q61" s="48"/>
      <c r="R61" s="159">
        <v>0</v>
      </c>
      <c r="S61" s="159">
        <v>0</v>
      </c>
      <c r="U61" s="99">
        <v>0</v>
      </c>
      <c r="V61" s="99">
        <v>0</v>
      </c>
      <c r="X61" s="180">
        <v>0</v>
      </c>
      <c r="Y61" s="180">
        <v>0</v>
      </c>
      <c r="AA61" s="107">
        <v>0</v>
      </c>
      <c r="AB61" s="107">
        <v>0</v>
      </c>
    </row>
    <row r="62" spans="1:28" s="2" customFormat="1" ht="11.25" x14ac:dyDescent="0.2">
      <c r="A62" s="2">
        <v>6018</v>
      </c>
      <c r="B62" s="2" t="s">
        <v>117</v>
      </c>
      <c r="C62" s="103" t="s">
        <v>37</v>
      </c>
      <c r="D62" s="99" t="s">
        <v>37</v>
      </c>
      <c r="E62" s="64"/>
      <c r="F62" s="111" t="s">
        <v>37</v>
      </c>
      <c r="G62" s="107" t="s">
        <v>37</v>
      </c>
      <c r="I62" s="119">
        <v>-27800</v>
      </c>
      <c r="J62" s="119">
        <v>0</v>
      </c>
      <c r="K62" s="23"/>
      <c r="L62" s="129">
        <v>-27800</v>
      </c>
      <c r="M62" s="129">
        <v>0</v>
      </c>
      <c r="O62" s="138">
        <v>-27800</v>
      </c>
      <c r="P62" s="138">
        <v>-12552</v>
      </c>
      <c r="Q62" s="48"/>
      <c r="R62" s="158">
        <v>-27800</v>
      </c>
      <c r="S62" s="158">
        <v>-63294</v>
      </c>
      <c r="U62" s="101">
        <v>-27800</v>
      </c>
      <c r="V62" s="101">
        <v>-2863</v>
      </c>
      <c r="X62" s="179">
        <v>0</v>
      </c>
      <c r="Y62" s="179">
        <v>0</v>
      </c>
      <c r="AA62" s="109">
        <v>0</v>
      </c>
      <c r="AB62" s="109">
        <v>0</v>
      </c>
    </row>
    <row r="63" spans="1:28" s="2" customFormat="1" ht="11.25" x14ac:dyDescent="0.2">
      <c r="C63" s="102">
        <f>SUM(C53:C62)</f>
        <v>-9500</v>
      </c>
      <c r="D63" s="102">
        <f>SUM(D53:D62)</f>
        <v>-2906</v>
      </c>
      <c r="E63" s="48"/>
      <c r="F63" s="110">
        <f>SUM(F53:F62)</f>
        <v>-26000</v>
      </c>
      <c r="G63" s="110">
        <f>SUM(G53:G62)</f>
        <v>-17955</v>
      </c>
      <c r="H63" s="1"/>
      <c r="I63" s="117">
        <f>SUM(I53:I62)</f>
        <v>-42460</v>
      </c>
      <c r="J63" s="117">
        <f>SUM(J53:J62)</f>
        <v>-5489</v>
      </c>
      <c r="K63" s="23"/>
      <c r="L63" s="127">
        <f>SUM(L53:L62)</f>
        <v>-63000</v>
      </c>
      <c r="M63" s="127">
        <f>SUM(M53:M62)</f>
        <v>-11400</v>
      </c>
      <c r="O63" s="136">
        <f>SUM(O53:O62)</f>
        <v>-48000</v>
      </c>
      <c r="P63" s="136">
        <f>SUM(P53:P62)</f>
        <v>-13794</v>
      </c>
      <c r="Q63" s="48"/>
      <c r="R63" s="157">
        <f>SUM(R53:R62)</f>
        <v>-48000</v>
      </c>
      <c r="S63" s="157">
        <f>SUM(S53:S62)</f>
        <v>-98740.2</v>
      </c>
      <c r="U63" s="102">
        <f>SUM(U53:U62)</f>
        <v>-30300</v>
      </c>
      <c r="V63" s="102">
        <f>SUM(V53:V62)</f>
        <v>-32879</v>
      </c>
      <c r="X63" s="178">
        <f>SUM(X53:X62)</f>
        <v>-36000</v>
      </c>
      <c r="Y63" s="178">
        <f>SUM(Y53:Y62)</f>
        <v>-22647</v>
      </c>
      <c r="AA63" s="110">
        <f>SUM(AA53:AA62)</f>
        <v>-23980</v>
      </c>
      <c r="AB63" s="110">
        <f>SUM(AB53:AB62)</f>
        <v>0</v>
      </c>
    </row>
    <row r="64" spans="1:28" s="2" customFormat="1" ht="11.25" x14ac:dyDescent="0.2">
      <c r="C64" s="98"/>
      <c r="D64" s="98"/>
      <c r="E64" s="48"/>
      <c r="F64" s="106"/>
      <c r="G64" s="106"/>
      <c r="I64" s="115"/>
      <c r="J64" s="115"/>
      <c r="K64" s="23"/>
      <c r="L64" s="125"/>
      <c r="M64" s="125"/>
      <c r="O64" s="134"/>
      <c r="P64" s="134"/>
      <c r="Q64" s="48"/>
      <c r="R64" s="155"/>
      <c r="S64" s="155"/>
      <c r="U64" s="98"/>
      <c r="V64" s="98"/>
      <c r="X64" s="176"/>
      <c r="Y64" s="176"/>
      <c r="AA64" s="106"/>
      <c r="AB64" s="106"/>
    </row>
    <row r="65" spans="1:28" s="1" customFormat="1" ht="11.25" x14ac:dyDescent="0.2">
      <c r="A65" s="15" t="s">
        <v>57</v>
      </c>
      <c r="B65" s="15"/>
      <c r="C65" s="104">
        <f>SUM(C63,C50,C39,C20,C11,C27)</f>
        <v>-163000</v>
      </c>
      <c r="D65" s="104">
        <f>SUM(D63,D50,D39,D20,D11,D27)</f>
        <v>-154272.65</v>
      </c>
      <c r="E65" s="52"/>
      <c r="F65" s="112">
        <f>SUM(F63,F50,F39,F20,F11,F27)</f>
        <v>-108000</v>
      </c>
      <c r="G65" s="112">
        <f>SUM(G63,G50,G39,G20,G11,G27)</f>
        <v>-50193</v>
      </c>
      <c r="H65" s="15"/>
      <c r="I65" s="120">
        <f>SUM(I63,I50,I39,I20,I11,I27)</f>
        <v>-68260</v>
      </c>
      <c r="J65" s="120">
        <f>SUM(J63,J50,J39,J20,J11,J27)</f>
        <v>121224</v>
      </c>
      <c r="K65" s="23"/>
      <c r="L65" s="130">
        <f>SUM(L63,L50,L39,L20,L11,L27)</f>
        <v>-239980</v>
      </c>
      <c r="M65" s="130">
        <f>SUM(M63,M50,M39,M20,M11,M27)</f>
        <v>177502</v>
      </c>
      <c r="N65" s="8"/>
      <c r="O65" s="139">
        <f>SUM(O63,O50,O39,O20,O11,O27)</f>
        <v>-303650</v>
      </c>
      <c r="P65" s="139">
        <f>SUM(P63,P50,P39,P20,P11,P27)</f>
        <v>-121391</v>
      </c>
      <c r="Q65" s="48"/>
      <c r="R65" s="157">
        <f>SUM(R63,R50,R39,R20,R11,R27)</f>
        <v>-551050</v>
      </c>
      <c r="S65" s="157">
        <f>SUM(S63,S50,S39,S20,S11,S27)</f>
        <v>-361115.7</v>
      </c>
      <c r="U65" s="102">
        <f>SUM(U63,U50,U39,U20,U11,U27)</f>
        <v>-211450</v>
      </c>
      <c r="V65" s="102">
        <f>SUM(V63,V50,V39,V20,V11,V27)</f>
        <v>-224637</v>
      </c>
      <c r="X65" s="178">
        <f>SUM(X63,X50,X39,X20,X11,X27)</f>
        <v>-287250</v>
      </c>
      <c r="Y65" s="178">
        <f>SUM(Y63,Y50,Y39,Y20,Y11,Y27)</f>
        <v>-179479</v>
      </c>
      <c r="AA65" s="110">
        <f>SUM(AA63,AA50,AA39,AA20,AA11,AA27)</f>
        <v>-311790</v>
      </c>
      <c r="AB65" s="110">
        <f>SUM(AB63,AB50,AB39,AB20,AB11,AB27)</f>
        <v>0</v>
      </c>
    </row>
    <row r="66" spans="1:28" s="2" customFormat="1" ht="11.25" x14ac:dyDescent="0.2">
      <c r="C66" s="98"/>
      <c r="D66" s="98"/>
      <c r="E66" s="48"/>
      <c r="F66" s="106"/>
      <c r="G66" s="106"/>
      <c r="I66" s="115"/>
      <c r="J66" s="115"/>
      <c r="L66" s="125"/>
      <c r="M66" s="125"/>
      <c r="O66" s="134"/>
      <c r="P66" s="134"/>
      <c r="Q66" s="48"/>
      <c r="R66" s="155"/>
      <c r="S66" s="155"/>
      <c r="U66" s="98"/>
      <c r="V66" s="98"/>
      <c r="X66" s="176"/>
      <c r="Y66" s="176"/>
      <c r="AA66" s="106"/>
      <c r="AB66" s="106"/>
    </row>
    <row r="67" spans="1:28" s="2" customFormat="1" ht="11.25" x14ac:dyDescent="0.2">
      <c r="A67" s="2" t="s">
        <v>10</v>
      </c>
      <c r="C67" s="98">
        <v>5000</v>
      </c>
      <c r="D67" s="98">
        <v>6738.04</v>
      </c>
      <c r="E67" s="48"/>
      <c r="F67" s="106">
        <v>6000</v>
      </c>
      <c r="G67" s="106">
        <v>3335</v>
      </c>
      <c r="I67" s="115">
        <f>-'Spec. Konton-RES.ENH'!U67</f>
        <v>22000</v>
      </c>
      <c r="J67" s="115">
        <v>4930</v>
      </c>
      <c r="L67" s="125">
        <v>4000</v>
      </c>
      <c r="M67" s="125">
        <v>4170</v>
      </c>
      <c r="O67" s="134">
        <v>4000</v>
      </c>
      <c r="P67" s="134">
        <v>4922</v>
      </c>
      <c r="Q67" s="48"/>
      <c r="R67" s="155">
        <v>4500</v>
      </c>
      <c r="S67" s="155">
        <v>8502</v>
      </c>
      <c r="U67" s="98">
        <v>15000</v>
      </c>
      <c r="V67" s="98">
        <v>59299</v>
      </c>
      <c r="X67" s="176">
        <v>35000</v>
      </c>
      <c r="Y67" s="176">
        <v>35580</v>
      </c>
      <c r="AA67" s="106">
        <v>22000</v>
      </c>
      <c r="AB67" s="106">
        <v>0</v>
      </c>
    </row>
    <row r="68" spans="1:28" s="2" customFormat="1" ht="11.25" x14ac:dyDescent="0.2">
      <c r="C68" s="98"/>
      <c r="D68" s="98"/>
      <c r="E68" s="48"/>
      <c r="F68" s="106"/>
      <c r="G68" s="106"/>
      <c r="I68" s="115"/>
      <c r="J68" s="115"/>
      <c r="L68" s="125"/>
      <c r="M68" s="125"/>
      <c r="O68" s="134"/>
      <c r="P68" s="134"/>
      <c r="Q68" s="48"/>
      <c r="R68" s="155"/>
      <c r="S68" s="155"/>
      <c r="U68" s="98"/>
      <c r="V68" s="98"/>
      <c r="X68" s="176"/>
      <c r="Y68" s="176"/>
      <c r="AA68" s="106"/>
      <c r="AB68" s="106"/>
    </row>
    <row r="69" spans="1:28" s="1" customFormat="1" ht="11.25" x14ac:dyDescent="0.2">
      <c r="A69" s="15" t="s">
        <v>5</v>
      </c>
      <c r="B69" s="15"/>
      <c r="C69" s="104">
        <f>SUM(C65:C67)</f>
        <v>-158000</v>
      </c>
      <c r="D69" s="104">
        <f>SUM(D65:D67)</f>
        <v>-147534.60999999999</v>
      </c>
      <c r="E69" s="52"/>
      <c r="F69" s="112">
        <f>SUM(F65:F67)</f>
        <v>-102000</v>
      </c>
      <c r="G69" s="112">
        <f>SUM(G65:G67)</f>
        <v>-46858</v>
      </c>
      <c r="H69" s="15"/>
      <c r="I69" s="120">
        <f>SUM(I65:I67)</f>
        <v>-46260</v>
      </c>
      <c r="J69" s="120">
        <f>SUM(J65:J67)</f>
        <v>126154</v>
      </c>
      <c r="K69" s="1" t="s">
        <v>184</v>
      </c>
      <c r="L69" s="130">
        <f>SUM(L65:L67)</f>
        <v>-235980</v>
      </c>
      <c r="M69" s="130">
        <f>SUM(M65:M67)</f>
        <v>181672</v>
      </c>
      <c r="O69" s="139">
        <f>SUM(O65:O67)</f>
        <v>-299650</v>
      </c>
      <c r="P69" s="139">
        <f>SUM(P65:P67)</f>
        <v>-116469</v>
      </c>
      <c r="Q69" s="48"/>
      <c r="R69" s="160">
        <f>SUM(R65:R67)</f>
        <v>-546550</v>
      </c>
      <c r="S69" s="160">
        <f>SUM(S65:S67)</f>
        <v>-352613.7</v>
      </c>
      <c r="U69" s="104">
        <f>SUM(U65:U67)</f>
        <v>-196450</v>
      </c>
      <c r="V69" s="104">
        <f>SUM(V65:V67)</f>
        <v>-165338</v>
      </c>
      <c r="X69" s="181">
        <f>SUM(X65:X67)</f>
        <v>-252250</v>
      </c>
      <c r="Y69" s="181">
        <f>SUM(Y65:Y67)</f>
        <v>-143899</v>
      </c>
      <c r="AA69" s="112">
        <f>SUM(AA65:AA67)</f>
        <v>-289790</v>
      </c>
      <c r="AB69" s="112">
        <f>SUM(AB65:AB67)</f>
        <v>0</v>
      </c>
    </row>
    <row r="70" spans="1:28" x14ac:dyDescent="0.2">
      <c r="C70" s="53"/>
      <c r="D70" s="54"/>
      <c r="E70" s="53"/>
      <c r="F70" s="53"/>
      <c r="G70" s="54"/>
      <c r="H70" s="11"/>
      <c r="Q70" s="48"/>
    </row>
    <row r="71" spans="1:28" x14ac:dyDescent="0.2">
      <c r="B71" s="2"/>
      <c r="D71" s="17"/>
      <c r="I71" s="17"/>
      <c r="J71" s="17"/>
      <c r="Q71" s="48"/>
    </row>
    <row r="72" spans="1:28" x14ac:dyDescent="0.2">
      <c r="B72" s="10"/>
      <c r="C72" s="10"/>
      <c r="G72" s="2"/>
      <c r="Q72" s="48"/>
    </row>
    <row r="73" spans="1:28" x14ac:dyDescent="0.2">
      <c r="B73" s="10"/>
      <c r="C73" s="10"/>
      <c r="G73" s="2"/>
      <c r="Q73" s="48"/>
    </row>
    <row r="74" spans="1:28" x14ac:dyDescent="0.2">
      <c r="A74" s="2"/>
      <c r="B74" s="10"/>
      <c r="C74" s="10"/>
      <c r="E74" s="9"/>
      <c r="F74" s="9"/>
      <c r="G74" s="2"/>
      <c r="H74" s="9"/>
      <c r="J74" s="61"/>
      <c r="K74" s="9"/>
      <c r="Q74" s="48"/>
    </row>
    <row r="75" spans="1:28" x14ac:dyDescent="0.2">
      <c r="A75" s="10"/>
      <c r="B75" s="10"/>
      <c r="C75" s="10"/>
      <c r="E75" s="10"/>
      <c r="F75" s="10"/>
      <c r="G75" s="2"/>
      <c r="H75" s="10"/>
      <c r="I75" s="48"/>
      <c r="J75" s="59"/>
      <c r="K75" s="10"/>
      <c r="L75" s="10"/>
    </row>
    <row r="76" spans="1:28" x14ac:dyDescent="0.2">
      <c r="A76" s="10"/>
      <c r="E76" s="10"/>
      <c r="F76" s="10"/>
      <c r="G76" s="2"/>
      <c r="H76" s="10"/>
      <c r="I76" s="48"/>
      <c r="J76" s="59"/>
      <c r="K76" s="10"/>
      <c r="L76" s="10"/>
    </row>
    <row r="77" spans="1:28" x14ac:dyDescent="0.2">
      <c r="A77" s="10"/>
      <c r="E77" s="10"/>
      <c r="F77" s="10"/>
      <c r="G77" s="2"/>
      <c r="H77" s="10"/>
      <c r="I77" s="48"/>
      <c r="J77" s="59"/>
      <c r="K77" s="10"/>
      <c r="L77" s="10"/>
    </row>
    <row r="78" spans="1:28" x14ac:dyDescent="0.2">
      <c r="A78" s="10"/>
      <c r="E78" s="10"/>
      <c r="F78" s="10"/>
      <c r="H78" s="10"/>
      <c r="I78" s="48"/>
      <c r="J78" s="59"/>
      <c r="K78" s="10"/>
      <c r="L78" s="10"/>
    </row>
    <row r="79" spans="1:28" x14ac:dyDescent="0.2">
      <c r="A79" s="10"/>
      <c r="E79" s="10"/>
      <c r="F79" s="10"/>
      <c r="H79" s="10"/>
      <c r="I79" s="48"/>
      <c r="J79" s="59"/>
      <c r="K79" s="10"/>
      <c r="L79" s="10"/>
    </row>
    <row r="80" spans="1:28" x14ac:dyDescent="0.2">
      <c r="A80" s="10"/>
      <c r="E80" s="10"/>
      <c r="F80" s="10"/>
      <c r="H80" s="10"/>
      <c r="I80" s="48"/>
      <c r="J80" s="59"/>
      <c r="K80" s="10"/>
      <c r="L80" s="10"/>
    </row>
    <row r="81" spans="1:12" x14ac:dyDescent="0.2">
      <c r="A81" s="10"/>
      <c r="B81" s="13"/>
      <c r="C81" s="13"/>
      <c r="D81" s="13"/>
      <c r="E81" s="13"/>
      <c r="F81" s="13"/>
      <c r="G81" s="12"/>
      <c r="H81" s="13"/>
      <c r="I81" s="48"/>
      <c r="J81" s="59"/>
      <c r="K81" s="10"/>
      <c r="L81" s="10"/>
    </row>
    <row r="82" spans="1:12" x14ac:dyDescent="0.2">
      <c r="A82" s="10"/>
      <c r="B82" s="12"/>
      <c r="C82" s="12"/>
      <c r="D82" s="12"/>
      <c r="E82" s="12"/>
      <c r="F82" s="12"/>
      <c r="G82" s="40"/>
      <c r="H82" s="13"/>
      <c r="I82" s="48"/>
      <c r="J82" s="59"/>
      <c r="K82" s="10"/>
      <c r="L82" s="10"/>
    </row>
    <row r="83" spans="1:12" x14ac:dyDescent="0.2">
      <c r="B83" s="14"/>
      <c r="C83" s="14"/>
      <c r="D83" s="14"/>
      <c r="E83" s="14"/>
      <c r="F83" s="14"/>
      <c r="G83" s="40"/>
      <c r="H83" s="14"/>
      <c r="I83" s="49"/>
      <c r="J83" s="59"/>
      <c r="K83" s="8"/>
      <c r="L83" s="10"/>
    </row>
    <row r="84" spans="1:12" x14ac:dyDescent="0.2">
      <c r="G84" s="2"/>
      <c r="H84" s="10"/>
      <c r="I84" s="48"/>
      <c r="J84" s="59"/>
      <c r="K84" s="10"/>
      <c r="L84" s="10"/>
    </row>
    <row r="85" spans="1:12" x14ac:dyDescent="0.2">
      <c r="G85" s="2"/>
      <c r="H85" s="10"/>
      <c r="I85" s="48"/>
      <c r="J85" s="59"/>
      <c r="K85" s="10"/>
      <c r="L85" s="10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BM85"/>
  <sheetViews>
    <sheetView topLeftCell="A56" zoomScale="120" zoomScaleNormal="120" workbookViewId="0">
      <pane xSplit="1" topLeftCell="P1" activePane="topRight" state="frozen"/>
      <selection pane="topRight" activeCell="U83" sqref="U83"/>
    </sheetView>
  </sheetViews>
  <sheetFormatPr defaultColWidth="8.88671875" defaultRowHeight="11.25" x14ac:dyDescent="0.2"/>
  <cols>
    <col min="1" max="1" width="18.44140625" style="2" customWidth="1"/>
    <col min="2" max="2" width="8.5546875" style="2" hidden="1" customWidth="1"/>
    <col min="3" max="3" width="6.5546875" style="7" hidden="1" customWidth="1"/>
    <col min="4" max="4" width="1.88671875" style="2" hidden="1" customWidth="1"/>
    <col min="5" max="5" width="8.5546875" style="2" hidden="1" customWidth="1"/>
    <col min="6" max="6" width="8.21875" style="7" hidden="1" customWidth="1"/>
    <col min="7" max="7" width="2.109375" style="2" hidden="1" customWidth="1"/>
    <col min="8" max="10" width="8.44140625" style="2" hidden="1" customWidth="1"/>
    <col min="11" max="15" width="10.109375" style="2" hidden="1" customWidth="1"/>
    <col min="16" max="20" width="10.109375" style="2" customWidth="1"/>
    <col min="21" max="21" width="7" style="2" customWidth="1"/>
    <col min="22" max="24" width="5" style="2" customWidth="1"/>
    <col min="25" max="25" width="5.109375" style="2" customWidth="1"/>
    <col min="26" max="26" width="4.33203125" style="2" customWidth="1"/>
    <col min="27" max="27" width="4.5546875" style="2" customWidth="1"/>
    <col min="28" max="30" width="4.33203125" style="2" customWidth="1"/>
    <col min="31" max="31" width="4.6640625" style="2" customWidth="1"/>
    <col min="32" max="32" width="4.88671875" style="2" customWidth="1"/>
    <col min="33" max="33" width="5.109375" style="2" customWidth="1"/>
    <col min="34" max="34" width="4.5546875" style="2" customWidth="1"/>
    <col min="35" max="35" width="4.88671875" style="2" customWidth="1"/>
    <col min="36" max="36" width="5.109375" style="2" bestFit="1" customWidth="1"/>
    <col min="37" max="37" width="4.88671875" style="2" bestFit="1" customWidth="1"/>
    <col min="38" max="38" width="5.109375" style="2" customWidth="1"/>
    <col min="39" max="41" width="4.88671875" style="2" customWidth="1"/>
    <col min="42" max="42" width="5" style="2" customWidth="1"/>
    <col min="43" max="43" width="5.109375" style="2" customWidth="1"/>
    <col min="44" max="44" width="4.88671875" style="2" customWidth="1"/>
    <col min="45" max="45" width="4.88671875" style="2" bestFit="1" customWidth="1"/>
    <col min="46" max="46" width="4.44140625" style="2" bestFit="1" customWidth="1"/>
    <col min="47" max="47" width="4.44140625" style="2" customWidth="1"/>
    <col min="48" max="48" width="4.88671875" style="2" bestFit="1" customWidth="1"/>
    <col min="49" max="49" width="4.6640625" style="2" bestFit="1" customWidth="1"/>
    <col min="50" max="50" width="5.109375" style="2" bestFit="1" customWidth="1"/>
    <col min="51" max="51" width="5.21875" style="2" customWidth="1"/>
    <col min="52" max="53" width="4.44140625" style="2" bestFit="1" customWidth="1"/>
    <col min="54" max="54" width="4" style="2" bestFit="1" customWidth="1"/>
    <col min="55" max="55" width="4.88671875" style="2" bestFit="1" customWidth="1"/>
    <col min="56" max="56" width="4.21875" style="2" bestFit="1" customWidth="1"/>
    <col min="57" max="58" width="4.88671875" style="2" bestFit="1" customWidth="1"/>
    <col min="59" max="59" width="8.88671875" style="2" customWidth="1"/>
    <col min="60" max="16384" width="8.88671875" style="2"/>
  </cols>
  <sheetData>
    <row r="1" spans="1:65" s="4" customFormat="1" ht="12" x14ac:dyDescent="0.2">
      <c r="A1" s="4" t="s">
        <v>33</v>
      </c>
      <c r="C1" s="6"/>
      <c r="F1" s="6"/>
      <c r="K1" s="1"/>
      <c r="L1" s="1"/>
      <c r="M1" s="1"/>
      <c r="N1" s="1"/>
      <c r="O1" s="1"/>
      <c r="P1" s="1"/>
      <c r="Q1" s="1"/>
      <c r="R1" s="1"/>
      <c r="S1" s="1"/>
      <c r="T1" s="1"/>
    </row>
    <row r="2" spans="1:65" x14ac:dyDescent="0.2">
      <c r="A2" s="2" t="s">
        <v>14</v>
      </c>
    </row>
    <row r="3" spans="1:65" x14ac:dyDescent="0.2">
      <c r="A3" s="1" t="s">
        <v>15</v>
      </c>
      <c r="H3" s="63" t="s">
        <v>120</v>
      </c>
      <c r="I3" s="63"/>
      <c r="J3" s="63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65" ht="144.75" x14ac:dyDescent="0.2">
      <c r="B4" s="1" t="s">
        <v>151</v>
      </c>
      <c r="C4" s="24" t="s">
        <v>175</v>
      </c>
      <c r="D4" s="1"/>
      <c r="E4" s="1" t="s">
        <v>167</v>
      </c>
      <c r="F4" s="24" t="s">
        <v>179</v>
      </c>
      <c r="G4" s="1"/>
      <c r="H4" s="1" t="s">
        <v>178</v>
      </c>
      <c r="I4" s="24" t="s">
        <v>181</v>
      </c>
      <c r="J4" s="1" t="s">
        <v>186</v>
      </c>
      <c r="K4" s="63" t="s">
        <v>187</v>
      </c>
      <c r="L4" s="63" t="s">
        <v>193</v>
      </c>
      <c r="M4" s="63" t="s">
        <v>201</v>
      </c>
      <c r="N4" s="63" t="s">
        <v>202</v>
      </c>
      <c r="O4" s="63" t="s">
        <v>210</v>
      </c>
      <c r="P4" s="171" t="s">
        <v>208</v>
      </c>
      <c r="Q4" s="171" t="s">
        <v>214</v>
      </c>
      <c r="R4" s="171" t="s">
        <v>215</v>
      </c>
      <c r="S4" s="171" t="s">
        <v>224</v>
      </c>
      <c r="T4" s="171" t="s">
        <v>225</v>
      </c>
      <c r="U4" s="161" t="s">
        <v>192</v>
      </c>
      <c r="V4" s="161" t="s">
        <v>121</v>
      </c>
      <c r="W4" s="161" t="s">
        <v>122</v>
      </c>
      <c r="X4" s="161" t="s">
        <v>123</v>
      </c>
      <c r="Y4" s="161" t="s">
        <v>165</v>
      </c>
      <c r="Z4" s="162" t="s">
        <v>124</v>
      </c>
      <c r="AA4" s="162" t="s">
        <v>125</v>
      </c>
      <c r="AB4" s="162" t="s">
        <v>126</v>
      </c>
      <c r="AC4" s="162" t="s">
        <v>127</v>
      </c>
      <c r="AD4" s="162" t="s">
        <v>128</v>
      </c>
      <c r="AE4" s="162" t="s">
        <v>162</v>
      </c>
      <c r="AF4" s="163" t="s">
        <v>129</v>
      </c>
      <c r="AG4" s="163" t="s">
        <v>130</v>
      </c>
      <c r="AH4" s="163" t="s">
        <v>195</v>
      </c>
      <c r="AI4" s="164" t="s">
        <v>131</v>
      </c>
      <c r="AJ4" s="164" t="s">
        <v>132</v>
      </c>
      <c r="AK4" s="164" t="s">
        <v>133</v>
      </c>
      <c r="AL4" s="164" t="s">
        <v>134</v>
      </c>
      <c r="AM4" s="164" t="s">
        <v>135</v>
      </c>
      <c r="AN4" s="164" t="s">
        <v>226</v>
      </c>
      <c r="AO4" s="164" t="s">
        <v>194</v>
      </c>
      <c r="AP4" s="164" t="s">
        <v>219</v>
      </c>
      <c r="AQ4" s="161" t="s">
        <v>136</v>
      </c>
      <c r="AR4" s="161" t="s">
        <v>137</v>
      </c>
      <c r="AS4" s="161" t="s">
        <v>138</v>
      </c>
      <c r="AT4" s="161" t="s">
        <v>139</v>
      </c>
      <c r="AU4" s="161" t="s">
        <v>141</v>
      </c>
      <c r="AV4" s="161" t="s">
        <v>140</v>
      </c>
      <c r="AW4" s="162" t="s">
        <v>142</v>
      </c>
      <c r="AX4" s="162" t="s">
        <v>217</v>
      </c>
      <c r="AY4" s="162" t="s">
        <v>218</v>
      </c>
      <c r="AZ4" s="162" t="s">
        <v>227</v>
      </c>
      <c r="BA4" s="162" t="s">
        <v>144</v>
      </c>
      <c r="BB4" s="162" t="s">
        <v>145</v>
      </c>
      <c r="BC4" s="162" t="s">
        <v>146</v>
      </c>
      <c r="BD4" s="162" t="s">
        <v>147</v>
      </c>
      <c r="BE4" s="162" t="s">
        <v>172</v>
      </c>
      <c r="BF4" s="162" t="s">
        <v>148</v>
      </c>
    </row>
    <row r="5" spans="1:65" x14ac:dyDescent="0.2">
      <c r="C5" s="2"/>
      <c r="D5" s="1"/>
      <c r="F5" s="2"/>
      <c r="G5" s="1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73"/>
      <c r="AG5" s="73"/>
      <c r="AH5" s="73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3"/>
      <c r="BE5" s="184"/>
      <c r="BF5" s="182"/>
    </row>
    <row r="6" spans="1:65" ht="14.25" x14ac:dyDescent="0.2">
      <c r="A6" s="165" t="s">
        <v>168</v>
      </c>
      <c r="B6" s="48">
        <v>123000</v>
      </c>
      <c r="C6" s="48">
        <v>118875</v>
      </c>
      <c r="D6" s="48"/>
      <c r="E6" s="48">
        <v>124600</v>
      </c>
      <c r="F6" s="48">
        <v>116400</v>
      </c>
      <c r="G6" s="7"/>
      <c r="H6" s="48">
        <v>120000</v>
      </c>
      <c r="I6" s="48">
        <v>115650</v>
      </c>
      <c r="J6" s="48">
        <v>85000</v>
      </c>
      <c r="K6" s="50">
        <v>67095</v>
      </c>
      <c r="L6" s="50">
        <v>70000</v>
      </c>
      <c r="M6" s="50">
        <v>58050</v>
      </c>
      <c r="N6" s="50">
        <v>90000</v>
      </c>
      <c r="O6" s="50">
        <v>98370</v>
      </c>
      <c r="P6" s="50">
        <v>140000</v>
      </c>
      <c r="Q6" s="50">
        <v>128725</v>
      </c>
      <c r="R6" s="50">
        <v>135000</v>
      </c>
      <c r="S6" s="50">
        <v>134500</v>
      </c>
      <c r="T6" s="50">
        <f>SUM(U6:BF6)</f>
        <v>140000</v>
      </c>
      <c r="U6" s="81">
        <v>140000</v>
      </c>
      <c r="V6" s="81"/>
      <c r="W6" s="81"/>
      <c r="X6" s="81"/>
      <c r="Y6" s="81"/>
      <c r="Z6" s="81"/>
      <c r="AA6" s="91"/>
      <c r="AB6" s="81"/>
      <c r="AC6" s="91"/>
      <c r="AD6" s="81"/>
      <c r="AE6" s="81"/>
      <c r="AF6" s="81"/>
      <c r="AG6" s="91"/>
      <c r="AH6" s="81"/>
      <c r="AI6" s="91"/>
      <c r="AJ6" s="81"/>
      <c r="AK6" s="91"/>
      <c r="AL6" s="81"/>
      <c r="AM6" s="91"/>
      <c r="AN6" s="91"/>
      <c r="AO6" s="81"/>
      <c r="AP6" s="91"/>
      <c r="AQ6" s="81"/>
      <c r="AR6" s="91"/>
      <c r="AS6" s="81"/>
      <c r="AT6" s="91"/>
      <c r="AU6" s="81"/>
      <c r="AV6" s="91"/>
      <c r="AW6" s="81"/>
      <c r="AX6" s="91"/>
      <c r="AY6" s="81"/>
      <c r="AZ6" s="91"/>
      <c r="BA6" s="81"/>
      <c r="BB6" s="91"/>
      <c r="BC6" s="81"/>
      <c r="BD6" s="91"/>
      <c r="BE6" s="81"/>
      <c r="BF6" s="81"/>
      <c r="BG6" s="48"/>
      <c r="BH6" s="48"/>
      <c r="BI6" s="48"/>
      <c r="BJ6" s="48"/>
      <c r="BK6" s="48"/>
      <c r="BL6" s="48"/>
      <c r="BM6" s="48"/>
    </row>
    <row r="7" spans="1:65" ht="14.25" x14ac:dyDescent="0.2">
      <c r="A7" s="165" t="s">
        <v>38</v>
      </c>
      <c r="B7" s="50" t="s">
        <v>37</v>
      </c>
      <c r="C7" s="50" t="s">
        <v>37</v>
      </c>
      <c r="D7" s="48"/>
      <c r="E7" s="50">
        <v>0</v>
      </c>
      <c r="F7" s="50">
        <v>0</v>
      </c>
      <c r="H7" s="48">
        <v>0</v>
      </c>
      <c r="I7" s="48">
        <v>0</v>
      </c>
      <c r="J7" s="48">
        <f t="shared" ref="J7:J25" si="0">SUM(U7:BF7)</f>
        <v>0</v>
      </c>
      <c r="K7" s="48">
        <v>-1205</v>
      </c>
      <c r="L7" s="50">
        <f t="shared" ref="L7:L25" si="1">SUM(U7:BF7)</f>
        <v>0</v>
      </c>
      <c r="M7" s="50">
        <f t="shared" ref="M7:M21" si="2">SUM(V7:BG7)</f>
        <v>0</v>
      </c>
      <c r="N7" s="50">
        <v>0</v>
      </c>
      <c r="O7" s="50">
        <v>0</v>
      </c>
      <c r="P7" s="50">
        <v>0</v>
      </c>
      <c r="Q7" s="50"/>
      <c r="R7" s="50">
        <v>0</v>
      </c>
      <c r="S7" s="50">
        <v>0</v>
      </c>
      <c r="T7" s="50">
        <f t="shared" ref="T7:T70" si="3">SUM(U7:BF7)</f>
        <v>0</v>
      </c>
      <c r="U7" s="82"/>
      <c r="V7" s="82"/>
      <c r="W7" s="82"/>
      <c r="X7" s="82"/>
      <c r="Y7" s="82"/>
      <c r="Z7" s="82"/>
      <c r="AA7" s="48"/>
      <c r="AB7" s="82"/>
      <c r="AC7" s="48"/>
      <c r="AD7" s="82"/>
      <c r="AE7" s="82"/>
      <c r="AF7" s="82"/>
      <c r="AG7" s="48"/>
      <c r="AH7" s="82"/>
      <c r="AI7" s="48"/>
      <c r="AJ7" s="82"/>
      <c r="AK7" s="48"/>
      <c r="AL7" s="82"/>
      <c r="AM7" s="48"/>
      <c r="AN7" s="48"/>
      <c r="AO7" s="82"/>
      <c r="AP7" s="48"/>
      <c r="AQ7" s="82"/>
      <c r="AR7" s="48"/>
      <c r="AS7" s="82"/>
      <c r="AT7" s="48"/>
      <c r="AU7" s="82"/>
      <c r="AV7" s="48"/>
      <c r="AW7" s="82"/>
      <c r="AX7" s="48"/>
      <c r="AY7" s="82"/>
      <c r="AZ7" s="48"/>
      <c r="BA7" s="82"/>
      <c r="BB7" s="48"/>
      <c r="BC7" s="82"/>
      <c r="BD7" s="48"/>
      <c r="BE7" s="82"/>
      <c r="BF7" s="82"/>
      <c r="BG7" s="48"/>
      <c r="BH7" s="48"/>
      <c r="BI7" s="48"/>
      <c r="BJ7" s="48"/>
      <c r="BK7" s="48"/>
      <c r="BL7" s="48"/>
      <c r="BM7" s="48"/>
    </row>
    <row r="8" spans="1:65" ht="14.25" x14ac:dyDescent="0.2">
      <c r="A8" s="165" t="s">
        <v>169</v>
      </c>
      <c r="B8" s="50">
        <v>3300</v>
      </c>
      <c r="C8" s="50">
        <v>3200</v>
      </c>
      <c r="D8" s="48"/>
      <c r="E8" s="50">
        <v>3100</v>
      </c>
      <c r="F8" s="50">
        <v>2800</v>
      </c>
      <c r="H8" s="48">
        <v>3100</v>
      </c>
      <c r="I8" s="48">
        <v>2200</v>
      </c>
      <c r="J8" s="48">
        <v>3100</v>
      </c>
      <c r="K8" s="50">
        <v>1630</v>
      </c>
      <c r="L8" s="50">
        <f t="shared" si="1"/>
        <v>0</v>
      </c>
      <c r="M8" s="50">
        <f t="shared" si="2"/>
        <v>0</v>
      </c>
      <c r="N8" s="50">
        <v>0</v>
      </c>
      <c r="O8" s="50">
        <v>0</v>
      </c>
      <c r="P8" s="50">
        <v>0</v>
      </c>
      <c r="Q8" s="50"/>
      <c r="R8" s="50">
        <v>0</v>
      </c>
      <c r="S8" s="50">
        <v>0</v>
      </c>
      <c r="T8" s="50">
        <f t="shared" si="3"/>
        <v>0</v>
      </c>
      <c r="U8" s="82" t="s">
        <v>14</v>
      </c>
      <c r="V8" s="82"/>
      <c r="W8" s="82"/>
      <c r="X8" s="82"/>
      <c r="Y8" s="82"/>
      <c r="Z8" s="82"/>
      <c r="AA8" s="48"/>
      <c r="AB8" s="82"/>
      <c r="AC8" s="48"/>
      <c r="AD8" s="82"/>
      <c r="AE8" s="82"/>
      <c r="AF8" s="82"/>
      <c r="AG8" s="48"/>
      <c r="AH8" s="82"/>
      <c r="AI8" s="48"/>
      <c r="AJ8" s="82"/>
      <c r="AK8" s="48"/>
      <c r="AL8" s="82"/>
      <c r="AM8" s="48"/>
      <c r="AN8" s="48"/>
      <c r="AO8" s="82"/>
      <c r="AP8" s="48"/>
      <c r="AQ8" s="82"/>
      <c r="AR8" s="48"/>
      <c r="AS8" s="82"/>
      <c r="AT8" s="48"/>
      <c r="AU8" s="82"/>
      <c r="AV8" s="48"/>
      <c r="AW8" s="82"/>
      <c r="AX8" s="48"/>
      <c r="AY8" s="82"/>
      <c r="AZ8" s="48"/>
      <c r="BA8" s="82"/>
      <c r="BB8" s="48"/>
      <c r="BC8" s="82"/>
      <c r="BD8" s="48"/>
      <c r="BE8" s="82"/>
      <c r="BF8" s="82"/>
      <c r="BG8" s="48"/>
      <c r="BH8" s="48"/>
      <c r="BI8" s="48"/>
      <c r="BJ8" s="48"/>
      <c r="BK8" s="48"/>
      <c r="BL8" s="48"/>
      <c r="BM8" s="48"/>
    </row>
    <row r="9" spans="1:65" ht="14.25" x14ac:dyDescent="0.2">
      <c r="A9" s="165" t="s">
        <v>170</v>
      </c>
      <c r="B9" s="50">
        <v>2600</v>
      </c>
      <c r="C9" s="50">
        <v>1950</v>
      </c>
      <c r="D9" s="48"/>
      <c r="E9" s="50">
        <v>3500</v>
      </c>
      <c r="F9" s="50">
        <v>1890</v>
      </c>
      <c r="H9" s="48">
        <v>2500</v>
      </c>
      <c r="I9" s="48">
        <v>1320</v>
      </c>
      <c r="J9" s="48">
        <v>2500</v>
      </c>
      <c r="K9" s="50">
        <v>0</v>
      </c>
      <c r="L9" s="50">
        <f t="shared" si="1"/>
        <v>0</v>
      </c>
      <c r="M9" s="50">
        <f t="shared" si="2"/>
        <v>0</v>
      </c>
      <c r="N9" s="50">
        <v>0</v>
      </c>
      <c r="O9" s="50">
        <v>0</v>
      </c>
      <c r="P9" s="50">
        <v>0</v>
      </c>
      <c r="Q9" s="50"/>
      <c r="R9" s="50">
        <v>0</v>
      </c>
      <c r="S9" s="50">
        <v>0</v>
      </c>
      <c r="T9" s="50">
        <f t="shared" si="3"/>
        <v>0</v>
      </c>
      <c r="U9" s="82" t="s">
        <v>14</v>
      </c>
      <c r="V9" s="82"/>
      <c r="W9" s="82"/>
      <c r="X9" s="82"/>
      <c r="Y9" s="82"/>
      <c r="Z9" s="82"/>
      <c r="AA9" s="48"/>
      <c r="AB9" s="82"/>
      <c r="AC9" s="48"/>
      <c r="AD9" s="82"/>
      <c r="AE9" s="82"/>
      <c r="AF9" s="82"/>
      <c r="AG9" s="48"/>
      <c r="AH9" s="82"/>
      <c r="AI9" s="48"/>
      <c r="AJ9" s="82"/>
      <c r="AK9" s="48"/>
      <c r="AL9" s="82"/>
      <c r="AM9" s="48"/>
      <c r="AN9" s="48"/>
      <c r="AO9" s="82"/>
      <c r="AP9" s="48"/>
      <c r="AQ9" s="82"/>
      <c r="AR9" s="48"/>
      <c r="AS9" s="82"/>
      <c r="AT9" s="48"/>
      <c r="AU9" s="82"/>
      <c r="AV9" s="48"/>
      <c r="AW9" s="82"/>
      <c r="AX9" s="48"/>
      <c r="AY9" s="82"/>
      <c r="AZ9" s="48"/>
      <c r="BA9" s="82"/>
      <c r="BB9" s="48"/>
      <c r="BC9" s="82"/>
      <c r="BD9" s="48"/>
      <c r="BE9" s="82"/>
      <c r="BF9" s="82"/>
      <c r="BG9" s="48"/>
      <c r="BH9" s="48"/>
      <c r="BI9" s="48"/>
      <c r="BJ9" s="48"/>
      <c r="BK9" s="48"/>
      <c r="BL9" s="48"/>
      <c r="BM9" s="48"/>
    </row>
    <row r="10" spans="1:65" ht="14.25" x14ac:dyDescent="0.2">
      <c r="A10" s="165" t="s">
        <v>39</v>
      </c>
      <c r="B10" s="50" t="s">
        <v>37</v>
      </c>
      <c r="C10" s="50" t="s">
        <v>37</v>
      </c>
      <c r="D10" s="48"/>
      <c r="E10" s="50">
        <v>0</v>
      </c>
      <c r="F10" s="50">
        <v>0</v>
      </c>
      <c r="H10" s="50" t="s">
        <v>37</v>
      </c>
      <c r="I10" s="50">
        <v>0</v>
      </c>
      <c r="J10" s="48">
        <f t="shared" si="0"/>
        <v>0</v>
      </c>
      <c r="K10" s="48">
        <v>530</v>
      </c>
      <c r="L10" s="50">
        <f t="shared" si="1"/>
        <v>0</v>
      </c>
      <c r="M10" s="50">
        <f t="shared" si="2"/>
        <v>0</v>
      </c>
      <c r="N10" s="50">
        <v>0</v>
      </c>
      <c r="O10" s="50">
        <v>0</v>
      </c>
      <c r="P10" s="50">
        <v>0</v>
      </c>
      <c r="Q10" s="50"/>
      <c r="R10" s="50">
        <v>0</v>
      </c>
      <c r="S10" s="50">
        <v>0</v>
      </c>
      <c r="T10" s="50">
        <f t="shared" si="3"/>
        <v>0</v>
      </c>
      <c r="U10" s="82"/>
      <c r="V10" s="82"/>
      <c r="W10" s="82"/>
      <c r="X10" s="82"/>
      <c r="Y10" s="82"/>
      <c r="Z10" s="82"/>
      <c r="AA10" s="48"/>
      <c r="AB10" s="82"/>
      <c r="AC10" s="48"/>
      <c r="AD10" s="82"/>
      <c r="AE10" s="82"/>
      <c r="AF10" s="82"/>
      <c r="AG10" s="48"/>
      <c r="AH10" s="82"/>
      <c r="AI10" s="48"/>
      <c r="AJ10" s="82"/>
      <c r="AK10" s="48"/>
      <c r="AL10" s="82"/>
      <c r="AM10" s="48"/>
      <c r="AN10" s="48"/>
      <c r="AO10" s="82"/>
      <c r="AP10" s="48"/>
      <c r="AQ10" s="82"/>
      <c r="AR10" s="48"/>
      <c r="AS10" s="82"/>
      <c r="AT10" s="48"/>
      <c r="AU10" s="82"/>
      <c r="AV10" s="48"/>
      <c r="AW10" s="82"/>
      <c r="AX10" s="48"/>
      <c r="AY10" s="82"/>
      <c r="AZ10" s="48"/>
      <c r="BA10" s="82"/>
      <c r="BB10" s="48"/>
      <c r="BC10" s="82"/>
      <c r="BD10" s="48"/>
      <c r="BE10" s="82"/>
      <c r="BF10" s="82"/>
      <c r="BG10" s="48"/>
      <c r="BH10" s="48"/>
      <c r="BI10" s="48"/>
      <c r="BJ10" s="48"/>
      <c r="BK10" s="48"/>
      <c r="BL10" s="48"/>
      <c r="BM10" s="48"/>
    </row>
    <row r="11" spans="1:65" ht="14.25" x14ac:dyDescent="0.2">
      <c r="A11" s="165" t="s">
        <v>40</v>
      </c>
      <c r="B11" s="50" t="s">
        <v>37</v>
      </c>
      <c r="C11" s="50" t="s">
        <v>37</v>
      </c>
      <c r="D11" s="48"/>
      <c r="E11" s="50">
        <v>0</v>
      </c>
      <c r="F11" s="50">
        <v>0</v>
      </c>
      <c r="H11" s="50" t="s">
        <v>37</v>
      </c>
      <c r="I11" s="50">
        <v>0</v>
      </c>
      <c r="J11" s="48">
        <f t="shared" si="0"/>
        <v>0</v>
      </c>
      <c r="K11" s="48">
        <v>0</v>
      </c>
      <c r="L11" s="50">
        <f t="shared" si="1"/>
        <v>0</v>
      </c>
      <c r="M11" s="50">
        <f t="shared" si="2"/>
        <v>0</v>
      </c>
      <c r="N11" s="50">
        <v>0</v>
      </c>
      <c r="O11" s="50">
        <v>0</v>
      </c>
      <c r="P11" s="50">
        <v>0</v>
      </c>
      <c r="Q11" s="50"/>
      <c r="R11" s="50">
        <v>0</v>
      </c>
      <c r="S11" s="50">
        <v>0</v>
      </c>
      <c r="T11" s="50">
        <f t="shared" si="3"/>
        <v>0</v>
      </c>
      <c r="U11" s="82"/>
      <c r="V11" s="82"/>
      <c r="W11" s="82"/>
      <c r="X11" s="82"/>
      <c r="Y11" s="82"/>
      <c r="Z11" s="82"/>
      <c r="AA11" s="48"/>
      <c r="AB11" s="82"/>
      <c r="AC11" s="48"/>
      <c r="AD11" s="82"/>
      <c r="AE11" s="82"/>
      <c r="AF11" s="82"/>
      <c r="AG11" s="48"/>
      <c r="AH11" s="82"/>
      <c r="AI11" s="48"/>
      <c r="AJ11" s="82"/>
      <c r="AK11" s="48"/>
      <c r="AL11" s="82"/>
      <c r="AM11" s="48"/>
      <c r="AN11" s="48"/>
      <c r="AO11" s="82"/>
      <c r="AP11" s="48"/>
      <c r="AQ11" s="82"/>
      <c r="AR11" s="48"/>
      <c r="AS11" s="82"/>
      <c r="AT11" s="48"/>
      <c r="AU11" s="82"/>
      <c r="AV11" s="48"/>
      <c r="AW11" s="82"/>
      <c r="AX11" s="48"/>
      <c r="AY11" s="82"/>
      <c r="AZ11" s="48"/>
      <c r="BA11" s="82"/>
      <c r="BB11" s="48"/>
      <c r="BC11" s="82"/>
      <c r="BD11" s="48"/>
      <c r="BE11" s="82"/>
      <c r="BF11" s="82"/>
      <c r="BG11" s="48"/>
      <c r="BH11" s="48"/>
      <c r="BI11" s="48"/>
      <c r="BJ11" s="48"/>
      <c r="BK11" s="48"/>
      <c r="BL11" s="48"/>
      <c r="BM11" s="48"/>
    </row>
    <row r="12" spans="1:65" ht="14.25" x14ac:dyDescent="0.2">
      <c r="A12" s="165" t="s">
        <v>16</v>
      </c>
      <c r="B12" s="48">
        <v>55700</v>
      </c>
      <c r="C12" s="48">
        <v>55770</v>
      </c>
      <c r="D12" s="48"/>
      <c r="E12" s="48">
        <v>66000</v>
      </c>
      <c r="F12" s="48">
        <v>80000</v>
      </c>
      <c r="H12" s="48">
        <v>76000</v>
      </c>
      <c r="I12" s="48">
        <v>78000</v>
      </c>
      <c r="J12" s="48">
        <v>76000</v>
      </c>
      <c r="K12" s="48">
        <v>68000</v>
      </c>
      <c r="L12" s="50">
        <v>0</v>
      </c>
      <c r="M12" s="50">
        <v>65835</v>
      </c>
      <c r="N12" s="50">
        <v>65000</v>
      </c>
      <c r="O12" s="50">
        <v>114680</v>
      </c>
      <c r="P12" s="50">
        <v>50000</v>
      </c>
      <c r="Q12" s="50">
        <v>111905</v>
      </c>
      <c r="R12" s="50">
        <v>110000</v>
      </c>
      <c r="S12" s="50">
        <v>115975</v>
      </c>
      <c r="T12" s="50">
        <f t="shared" si="3"/>
        <v>110000</v>
      </c>
      <c r="U12" s="82">
        <v>110000</v>
      </c>
      <c r="V12" s="82"/>
      <c r="W12" s="82"/>
      <c r="X12" s="82"/>
      <c r="Y12" s="82"/>
      <c r="Z12" s="82"/>
      <c r="AA12" s="48"/>
      <c r="AB12" s="82"/>
      <c r="AC12" s="48"/>
      <c r="AD12" s="82"/>
      <c r="AE12" s="82"/>
      <c r="AF12" s="82"/>
      <c r="AG12" s="48"/>
      <c r="AH12" s="82"/>
      <c r="AI12" s="48"/>
      <c r="AJ12" s="82"/>
      <c r="AK12" s="48"/>
      <c r="AL12" s="82"/>
      <c r="AM12" s="48"/>
      <c r="AN12" s="48"/>
      <c r="AO12" s="82"/>
      <c r="AP12" s="48"/>
      <c r="AQ12" s="82"/>
      <c r="AR12" s="48"/>
      <c r="AS12" s="82"/>
      <c r="AT12" s="48"/>
      <c r="AU12" s="82"/>
      <c r="AV12" s="48"/>
      <c r="AW12" s="82"/>
      <c r="AX12" s="48"/>
      <c r="AY12" s="82"/>
      <c r="AZ12" s="48"/>
      <c r="BA12" s="82"/>
      <c r="BB12" s="48"/>
      <c r="BC12" s="82"/>
      <c r="BD12" s="48"/>
      <c r="BE12" s="82"/>
      <c r="BF12" s="82"/>
      <c r="BG12" s="48"/>
      <c r="BH12" s="48"/>
      <c r="BI12" s="48"/>
      <c r="BJ12" s="48"/>
      <c r="BK12" s="48"/>
      <c r="BL12" s="48"/>
      <c r="BM12" s="48"/>
    </row>
    <row r="13" spans="1:65" ht="14.25" x14ac:dyDescent="0.2">
      <c r="A13" s="165" t="s">
        <v>17</v>
      </c>
      <c r="B13" s="48">
        <v>20300</v>
      </c>
      <c r="C13" s="48">
        <v>21360</v>
      </c>
      <c r="D13" s="48"/>
      <c r="E13" s="48">
        <v>24000</v>
      </c>
      <c r="F13" s="48">
        <v>15000</v>
      </c>
      <c r="H13" s="48">
        <v>16000</v>
      </c>
      <c r="I13" s="48">
        <v>14000</v>
      </c>
      <c r="J13" s="48">
        <v>16000</v>
      </c>
      <c r="K13" s="48">
        <v>7000</v>
      </c>
      <c r="L13" s="50">
        <f t="shared" si="1"/>
        <v>20000</v>
      </c>
      <c r="M13" s="50">
        <f t="shared" si="2"/>
        <v>0</v>
      </c>
      <c r="N13" s="50">
        <v>0</v>
      </c>
      <c r="O13" s="50">
        <v>16000</v>
      </c>
      <c r="P13" s="50">
        <v>15000</v>
      </c>
      <c r="Q13" s="50">
        <v>15000</v>
      </c>
      <c r="R13" s="50">
        <v>15000</v>
      </c>
      <c r="S13" s="50">
        <v>20000</v>
      </c>
      <c r="T13" s="50">
        <f t="shared" si="3"/>
        <v>20000</v>
      </c>
      <c r="U13" s="82">
        <v>20000</v>
      </c>
      <c r="V13" s="82"/>
      <c r="W13" s="82"/>
      <c r="X13" s="82"/>
      <c r="Y13" s="82"/>
      <c r="Z13" s="82"/>
      <c r="AA13" s="48"/>
      <c r="AB13" s="82"/>
      <c r="AC13" s="48"/>
      <c r="AD13" s="82"/>
      <c r="AE13" s="82"/>
      <c r="AF13" s="82"/>
      <c r="AG13" s="48"/>
      <c r="AH13" s="82"/>
      <c r="AI13" s="48"/>
      <c r="AJ13" s="82"/>
      <c r="AK13" s="48"/>
      <c r="AL13" s="82"/>
      <c r="AM13" s="48"/>
      <c r="AN13" s="48"/>
      <c r="AO13" s="82"/>
      <c r="AP13" s="48"/>
      <c r="AQ13" s="82"/>
      <c r="AR13" s="48"/>
      <c r="AS13" s="82"/>
      <c r="AT13" s="48"/>
      <c r="AU13" s="82"/>
      <c r="AV13" s="48"/>
      <c r="AW13" s="82"/>
      <c r="AX13" s="48"/>
      <c r="AY13" s="82"/>
      <c r="AZ13" s="48"/>
      <c r="BA13" s="82"/>
      <c r="BB13" s="48"/>
      <c r="BC13" s="82"/>
      <c r="BD13" s="48"/>
      <c r="BE13" s="82"/>
      <c r="BF13" s="82"/>
      <c r="BG13" s="48"/>
      <c r="BH13" s="48"/>
      <c r="BI13" s="48"/>
      <c r="BJ13" s="48"/>
      <c r="BK13" s="48"/>
      <c r="BL13" s="48"/>
      <c r="BM13" s="48"/>
    </row>
    <row r="14" spans="1:65" ht="14.25" x14ac:dyDescent="0.2">
      <c r="A14" s="165" t="s">
        <v>18</v>
      </c>
      <c r="B14" s="48">
        <v>70000</v>
      </c>
      <c r="C14" s="48">
        <v>62885</v>
      </c>
      <c r="D14" s="48"/>
      <c r="E14" s="48">
        <v>60000</v>
      </c>
      <c r="F14" s="48">
        <v>72833</v>
      </c>
      <c r="H14" s="48">
        <v>72000</v>
      </c>
      <c r="I14" s="48">
        <v>70125</v>
      </c>
      <c r="J14" s="48">
        <v>72000</v>
      </c>
      <c r="K14" s="48">
        <v>67417</v>
      </c>
      <c r="L14" s="50">
        <f t="shared" si="1"/>
        <v>0</v>
      </c>
      <c r="M14" s="50">
        <f t="shared" si="2"/>
        <v>0</v>
      </c>
      <c r="N14" s="50">
        <v>0</v>
      </c>
      <c r="O14" s="50">
        <v>0</v>
      </c>
      <c r="P14" s="50">
        <v>0</v>
      </c>
      <c r="Q14" s="50"/>
      <c r="R14" s="50">
        <v>0</v>
      </c>
      <c r="S14" s="50">
        <v>0</v>
      </c>
      <c r="T14" s="50">
        <f t="shared" si="3"/>
        <v>0</v>
      </c>
      <c r="U14" s="82" t="s">
        <v>14</v>
      </c>
      <c r="V14" s="82"/>
      <c r="W14" s="82"/>
      <c r="X14" s="82"/>
      <c r="Y14" s="82"/>
      <c r="Z14" s="82"/>
      <c r="AA14" s="48"/>
      <c r="AB14" s="82"/>
      <c r="AC14" s="48"/>
      <c r="AD14" s="82"/>
      <c r="AE14" s="82"/>
      <c r="AF14" s="82"/>
      <c r="AG14" s="48"/>
      <c r="AH14" s="82"/>
      <c r="AI14" s="48"/>
      <c r="AJ14" s="82"/>
      <c r="AK14" s="48"/>
      <c r="AL14" s="82"/>
      <c r="AM14" s="48"/>
      <c r="AN14" s="48"/>
      <c r="AO14" s="82"/>
      <c r="AP14" s="48"/>
      <c r="AQ14" s="82"/>
      <c r="AR14" s="48"/>
      <c r="AS14" s="82"/>
      <c r="AT14" s="48"/>
      <c r="AU14" s="82"/>
      <c r="AV14" s="48"/>
      <c r="AW14" s="82"/>
      <c r="AX14" s="48"/>
      <c r="AY14" s="82"/>
      <c r="AZ14" s="48"/>
      <c r="BA14" s="82"/>
      <c r="BB14" s="48"/>
      <c r="BC14" s="82"/>
      <c r="BD14" s="48"/>
      <c r="BE14" s="82"/>
      <c r="BF14" s="82"/>
      <c r="BG14" s="48"/>
      <c r="BH14" s="48"/>
      <c r="BI14" s="48"/>
      <c r="BJ14" s="48"/>
      <c r="BK14" s="48"/>
      <c r="BL14" s="48"/>
      <c r="BM14" s="48"/>
    </row>
    <row r="15" spans="1:65" ht="14.25" x14ac:dyDescent="0.2">
      <c r="A15" s="165" t="s">
        <v>19</v>
      </c>
      <c r="B15" s="48">
        <v>22500</v>
      </c>
      <c r="C15" s="48">
        <v>22500</v>
      </c>
      <c r="D15" s="48"/>
      <c r="E15" s="48">
        <v>37500</v>
      </c>
      <c r="F15" s="48">
        <v>37000</v>
      </c>
      <c r="H15" s="48">
        <v>37500</v>
      </c>
      <c r="I15" s="48">
        <v>40500</v>
      </c>
      <c r="J15" s="48">
        <v>37500</v>
      </c>
      <c r="K15" s="48">
        <v>33500</v>
      </c>
      <c r="L15" s="50">
        <v>34000</v>
      </c>
      <c r="M15" s="50">
        <v>24500</v>
      </c>
      <c r="N15" s="50">
        <v>28000</v>
      </c>
      <c r="O15" s="50">
        <v>45000</v>
      </c>
      <c r="P15" s="50">
        <v>40000</v>
      </c>
      <c r="Q15" s="50">
        <v>28000</v>
      </c>
      <c r="R15" s="50">
        <v>27500</v>
      </c>
      <c r="S15" s="50">
        <v>28500</v>
      </c>
      <c r="T15" s="50">
        <f t="shared" si="3"/>
        <v>27000</v>
      </c>
      <c r="U15" s="82">
        <v>27000</v>
      </c>
      <c r="V15" s="82"/>
      <c r="W15" s="82"/>
      <c r="X15" s="82"/>
      <c r="Y15" s="82"/>
      <c r="Z15" s="82"/>
      <c r="AA15" s="48"/>
      <c r="AB15" s="82"/>
      <c r="AC15" s="48"/>
      <c r="AD15" s="82"/>
      <c r="AE15" s="82"/>
      <c r="AF15" s="82"/>
      <c r="AG15" s="48"/>
      <c r="AH15" s="82"/>
      <c r="AI15" s="48"/>
      <c r="AJ15" s="82"/>
      <c r="AK15" s="48"/>
      <c r="AL15" s="82"/>
      <c r="AM15" s="48"/>
      <c r="AN15" s="48"/>
      <c r="AO15" s="82"/>
      <c r="AP15" s="48"/>
      <c r="AQ15" s="82"/>
      <c r="AR15" s="48"/>
      <c r="AS15" s="82"/>
      <c r="AT15" s="48"/>
      <c r="AU15" s="82"/>
      <c r="AV15" s="48"/>
      <c r="AW15" s="82"/>
      <c r="AX15" s="48"/>
      <c r="AY15" s="82"/>
      <c r="AZ15" s="48"/>
      <c r="BA15" s="82"/>
      <c r="BB15" s="48"/>
      <c r="BC15" s="82"/>
      <c r="BD15" s="48"/>
      <c r="BE15" s="82"/>
      <c r="BF15" s="82"/>
      <c r="BG15" s="48"/>
      <c r="BH15" s="48"/>
      <c r="BI15" s="48"/>
      <c r="BJ15" s="48"/>
      <c r="BK15" s="48"/>
      <c r="BL15" s="48"/>
      <c r="BM15" s="48"/>
    </row>
    <row r="16" spans="1:65" ht="14.25" x14ac:dyDescent="0.2">
      <c r="A16" s="165" t="s">
        <v>20</v>
      </c>
      <c r="B16" s="48">
        <v>12500</v>
      </c>
      <c r="C16" s="48">
        <v>12500</v>
      </c>
      <c r="D16" s="48"/>
      <c r="E16" s="48">
        <v>12500</v>
      </c>
      <c r="F16" s="48">
        <v>12500</v>
      </c>
      <c r="H16" s="48">
        <v>11000</v>
      </c>
      <c r="I16" s="48">
        <v>10000</v>
      </c>
      <c r="J16" s="48">
        <v>11000</v>
      </c>
      <c r="K16" s="48">
        <v>-1000</v>
      </c>
      <c r="L16" s="50">
        <v>6500</v>
      </c>
      <c r="M16" s="50">
        <f t="shared" si="2"/>
        <v>0</v>
      </c>
      <c r="N16" s="50">
        <v>5000</v>
      </c>
      <c r="O16" s="50">
        <v>0</v>
      </c>
      <c r="P16" s="50">
        <v>3000</v>
      </c>
      <c r="Q16" s="50"/>
      <c r="R16" s="50">
        <v>3000</v>
      </c>
      <c r="S16" s="50">
        <v>0</v>
      </c>
      <c r="T16" s="50">
        <f t="shared" si="3"/>
        <v>0</v>
      </c>
      <c r="U16" s="82">
        <v>0</v>
      </c>
      <c r="V16" s="82"/>
      <c r="W16" s="82"/>
      <c r="X16" s="82"/>
      <c r="Y16" s="82"/>
      <c r="Z16" s="82"/>
      <c r="AA16" s="48"/>
      <c r="AB16" s="82"/>
      <c r="AC16" s="48"/>
      <c r="AD16" s="82"/>
      <c r="AE16" s="82"/>
      <c r="AF16" s="82"/>
      <c r="AG16" s="48"/>
      <c r="AH16" s="82"/>
      <c r="AI16" s="48"/>
      <c r="AJ16" s="82"/>
      <c r="AK16" s="48"/>
      <c r="AL16" s="82"/>
      <c r="AM16" s="48"/>
      <c r="AN16" s="48"/>
      <c r="AO16" s="82"/>
      <c r="AP16" s="48"/>
      <c r="AQ16" s="82"/>
      <c r="AR16" s="48"/>
      <c r="AS16" s="82"/>
      <c r="AT16" s="48"/>
      <c r="AU16" s="82"/>
      <c r="AV16" s="48"/>
      <c r="AW16" s="82"/>
      <c r="AX16" s="48"/>
      <c r="AY16" s="82"/>
      <c r="AZ16" s="48"/>
      <c r="BA16" s="82"/>
      <c r="BB16" s="48"/>
      <c r="BC16" s="82"/>
      <c r="BD16" s="48"/>
      <c r="BE16" s="82"/>
      <c r="BF16" s="82"/>
      <c r="BG16" s="48"/>
      <c r="BH16" s="48"/>
      <c r="BI16" s="48"/>
      <c r="BJ16" s="48"/>
      <c r="BK16" s="48"/>
      <c r="BL16" s="48"/>
      <c r="BM16" s="48"/>
    </row>
    <row r="17" spans="1:65" ht="14.25" x14ac:dyDescent="0.2">
      <c r="A17" s="165" t="s">
        <v>197</v>
      </c>
      <c r="B17" s="48">
        <v>0</v>
      </c>
      <c r="C17" s="48">
        <v>0</v>
      </c>
      <c r="D17" s="48"/>
      <c r="E17" s="48">
        <v>0</v>
      </c>
      <c r="F17" s="48">
        <v>0</v>
      </c>
      <c r="H17" s="48">
        <v>0</v>
      </c>
      <c r="I17" s="48">
        <v>0</v>
      </c>
      <c r="J17" s="48">
        <f t="shared" si="0"/>
        <v>0</v>
      </c>
      <c r="K17" s="48">
        <v>10000</v>
      </c>
      <c r="L17" s="50">
        <f t="shared" si="1"/>
        <v>0</v>
      </c>
      <c r="M17" s="50">
        <v>-10000</v>
      </c>
      <c r="N17" s="50">
        <v>0</v>
      </c>
      <c r="O17" s="50">
        <v>0</v>
      </c>
      <c r="P17" s="50">
        <v>0</v>
      </c>
      <c r="Q17" s="50"/>
      <c r="R17" s="50">
        <v>0</v>
      </c>
      <c r="S17" s="50">
        <v>0</v>
      </c>
      <c r="T17" s="50">
        <f t="shared" si="3"/>
        <v>0</v>
      </c>
      <c r="U17" s="82"/>
      <c r="V17" s="82"/>
      <c r="W17" s="82"/>
      <c r="X17" s="82"/>
      <c r="Y17" s="82"/>
      <c r="Z17" s="82"/>
      <c r="AA17" s="48"/>
      <c r="AB17" s="82"/>
      <c r="AC17" s="48"/>
      <c r="AD17" s="82"/>
      <c r="AE17" s="82"/>
      <c r="AF17" s="82"/>
      <c r="AG17" s="48"/>
      <c r="AH17" s="82"/>
      <c r="AI17" s="48"/>
      <c r="AJ17" s="82"/>
      <c r="AK17" s="48"/>
      <c r="AL17" s="82"/>
      <c r="AM17" s="48"/>
      <c r="AN17" s="48"/>
      <c r="AO17" s="82"/>
      <c r="AP17" s="48"/>
      <c r="AQ17" s="82"/>
      <c r="AR17" s="48"/>
      <c r="AS17" s="82"/>
      <c r="AT17" s="48"/>
      <c r="AU17" s="82"/>
      <c r="AV17" s="48"/>
      <c r="AW17" s="82"/>
      <c r="AX17" s="48"/>
      <c r="AY17" s="82"/>
      <c r="AZ17" s="48"/>
      <c r="BA17" s="82"/>
      <c r="BB17" s="48"/>
      <c r="BC17" s="82"/>
      <c r="BD17" s="48"/>
      <c r="BE17" s="82"/>
      <c r="BF17" s="82"/>
      <c r="BG17" s="48"/>
      <c r="BH17" s="48"/>
      <c r="BI17" s="48"/>
      <c r="BJ17" s="48"/>
      <c r="BK17" s="48"/>
      <c r="BL17" s="48"/>
      <c r="BM17" s="48"/>
    </row>
    <row r="18" spans="1:65" ht="14.25" x14ac:dyDescent="0.2">
      <c r="A18" s="165" t="s">
        <v>58</v>
      </c>
      <c r="B18" s="48">
        <v>259100</v>
      </c>
      <c r="C18" s="48">
        <v>195990</v>
      </c>
      <c r="D18" s="48"/>
      <c r="E18" s="48">
        <v>230250</v>
      </c>
      <c r="F18" s="48">
        <v>199310</v>
      </c>
      <c r="H18" s="48">
        <v>227750</v>
      </c>
      <c r="I18" s="48">
        <v>239535</v>
      </c>
      <c r="J18" s="48">
        <v>227750</v>
      </c>
      <c r="K18" s="48">
        <v>11720</v>
      </c>
      <c r="L18" s="50">
        <f t="shared" si="1"/>
        <v>540720</v>
      </c>
      <c r="M18" s="50">
        <v>94280</v>
      </c>
      <c r="N18" s="50">
        <v>192750</v>
      </c>
      <c r="O18" s="50">
        <v>182248</v>
      </c>
      <c r="P18" s="50">
        <v>390000</v>
      </c>
      <c r="Q18" s="50">
        <v>278205</v>
      </c>
      <c r="R18" s="50">
        <v>313000</v>
      </c>
      <c r="S18" s="50">
        <v>313541.5</v>
      </c>
      <c r="T18" s="50">
        <f t="shared" si="3"/>
        <v>540720</v>
      </c>
      <c r="U18" s="82"/>
      <c r="V18" s="82"/>
      <c r="W18" s="82"/>
      <c r="X18" s="82"/>
      <c r="Y18" s="82"/>
      <c r="Z18" s="82"/>
      <c r="AA18" s="48">
        <v>15000</v>
      </c>
      <c r="AB18" s="82">
        <v>11000</v>
      </c>
      <c r="AC18" s="48"/>
      <c r="AD18" s="82"/>
      <c r="AE18" s="82"/>
      <c r="AF18" s="82"/>
      <c r="AG18" s="48"/>
      <c r="AH18" s="82"/>
      <c r="AI18" s="48"/>
      <c r="AJ18" s="82">
        <v>100500</v>
      </c>
      <c r="AK18" s="48">
        <v>15800</v>
      </c>
      <c r="AL18" s="82">
        <v>54000</v>
      </c>
      <c r="AM18" s="48">
        <v>7000</v>
      </c>
      <c r="AN18" s="48">
        <f>62400+30720</f>
        <v>93120</v>
      </c>
      <c r="AO18" s="82"/>
      <c r="AP18" s="48">
        <v>76200</v>
      </c>
      <c r="AQ18" s="82"/>
      <c r="AR18" s="48">
        <v>42000</v>
      </c>
      <c r="AS18" s="82">
        <v>80000</v>
      </c>
      <c r="AT18" s="48">
        <v>12500</v>
      </c>
      <c r="AU18" s="82"/>
      <c r="AV18" s="48"/>
      <c r="AW18" s="82"/>
      <c r="AX18" s="48">
        <v>19200</v>
      </c>
      <c r="AY18" s="82">
        <v>14400</v>
      </c>
      <c r="AZ18" s="48"/>
      <c r="BA18" s="82"/>
      <c r="BB18" s="48"/>
      <c r="BC18" s="82"/>
      <c r="BD18" s="48"/>
      <c r="BE18" s="82"/>
      <c r="BF18" s="82"/>
      <c r="BG18" s="48"/>
      <c r="BH18" s="48"/>
      <c r="BI18" s="48"/>
      <c r="BJ18" s="48"/>
      <c r="BK18" s="48"/>
      <c r="BL18" s="48"/>
      <c r="BM18" s="48"/>
    </row>
    <row r="19" spans="1:65" ht="14.25" x14ac:dyDescent="0.2">
      <c r="A19" s="165" t="s">
        <v>59</v>
      </c>
      <c r="B19" s="48">
        <v>75200</v>
      </c>
      <c r="C19" s="48">
        <v>20300</v>
      </c>
      <c r="D19" s="48"/>
      <c r="E19" s="48">
        <v>57200</v>
      </c>
      <c r="F19" s="48">
        <v>7500</v>
      </c>
      <c r="H19" s="48">
        <v>78000</v>
      </c>
      <c r="I19" s="48">
        <v>40600</v>
      </c>
      <c r="J19" s="48">
        <v>78000</v>
      </c>
      <c r="K19" s="48">
        <v>0</v>
      </c>
      <c r="L19" s="50">
        <f t="shared" si="1"/>
        <v>7800</v>
      </c>
      <c r="M19" s="50">
        <v>0</v>
      </c>
      <c r="N19" s="50">
        <v>78000</v>
      </c>
      <c r="O19" s="50">
        <v>0</v>
      </c>
      <c r="P19" s="50">
        <v>60000</v>
      </c>
      <c r="Q19" s="50"/>
      <c r="R19" s="50">
        <v>56000</v>
      </c>
      <c r="S19" s="50">
        <v>0</v>
      </c>
      <c r="T19" s="50">
        <f t="shared" si="3"/>
        <v>7800</v>
      </c>
      <c r="U19" s="82"/>
      <c r="V19" s="82"/>
      <c r="W19" s="82"/>
      <c r="X19" s="82"/>
      <c r="Y19" s="82"/>
      <c r="Z19" s="82"/>
      <c r="AA19" s="48"/>
      <c r="AB19" s="82"/>
      <c r="AC19" s="48"/>
      <c r="AD19" s="82"/>
      <c r="AE19" s="82">
        <v>3000</v>
      </c>
      <c r="AF19" s="82"/>
      <c r="AG19" s="48"/>
      <c r="AH19" s="82"/>
      <c r="AI19" s="48"/>
      <c r="AJ19" s="82"/>
      <c r="AK19" s="48"/>
      <c r="AL19" s="82"/>
      <c r="AM19" s="48"/>
      <c r="AN19" s="48"/>
      <c r="AO19" s="82"/>
      <c r="AP19" s="48"/>
      <c r="AQ19" s="82"/>
      <c r="AR19" s="48"/>
      <c r="AS19" s="82"/>
      <c r="AT19" s="48"/>
      <c r="AU19" s="82"/>
      <c r="AV19" s="48"/>
      <c r="AW19" s="82"/>
      <c r="AX19" s="48"/>
      <c r="AY19" s="82"/>
      <c r="AZ19" s="48">
        <v>4800</v>
      </c>
      <c r="BA19" s="82">
        <v>0</v>
      </c>
      <c r="BB19" s="48"/>
      <c r="BC19" s="82" t="s">
        <v>14</v>
      </c>
      <c r="BD19" s="48"/>
      <c r="BE19" s="82"/>
      <c r="BF19" s="82">
        <v>0</v>
      </c>
      <c r="BG19" s="48"/>
      <c r="BH19" s="48"/>
      <c r="BI19" s="48"/>
      <c r="BJ19" s="48"/>
      <c r="BK19" s="48"/>
      <c r="BL19" s="48"/>
      <c r="BM19" s="48"/>
    </row>
    <row r="20" spans="1:65" ht="14.25" x14ac:dyDescent="0.2">
      <c r="A20" s="165" t="s">
        <v>60</v>
      </c>
      <c r="B20" s="48">
        <v>34000</v>
      </c>
      <c r="C20" s="48">
        <v>11892.94</v>
      </c>
      <c r="D20" s="48"/>
      <c r="E20" s="48">
        <v>10000</v>
      </c>
      <c r="F20" s="48">
        <v>7000</v>
      </c>
      <c r="H20" s="48">
        <v>10000</v>
      </c>
      <c r="I20" s="48">
        <v>5250</v>
      </c>
      <c r="J20" s="48">
        <v>10000</v>
      </c>
      <c r="K20" s="48">
        <v>0</v>
      </c>
      <c r="L20" s="50">
        <f t="shared" si="1"/>
        <v>0</v>
      </c>
      <c r="M20" s="50">
        <v>0</v>
      </c>
      <c r="N20" s="50">
        <v>10000</v>
      </c>
      <c r="O20" s="50">
        <v>0</v>
      </c>
      <c r="P20" s="50">
        <v>10000</v>
      </c>
      <c r="Q20" s="50"/>
      <c r="R20" s="50">
        <v>0</v>
      </c>
      <c r="S20" s="50">
        <v>0</v>
      </c>
      <c r="T20" s="50">
        <f t="shared" si="3"/>
        <v>0</v>
      </c>
      <c r="U20" s="82"/>
      <c r="V20" s="82"/>
      <c r="W20" s="82"/>
      <c r="X20" s="82"/>
      <c r="Y20" s="82"/>
      <c r="Z20" s="82"/>
      <c r="AA20" s="48"/>
      <c r="AB20" s="82"/>
      <c r="AC20" s="48"/>
      <c r="AD20" s="82"/>
      <c r="AE20" s="82"/>
      <c r="AF20" s="82"/>
      <c r="AG20" s="48"/>
      <c r="AH20" s="82"/>
      <c r="AI20" s="48"/>
      <c r="AJ20" s="82">
        <v>0</v>
      </c>
      <c r="AK20" s="48"/>
      <c r="AL20" s="82"/>
      <c r="AM20" s="48"/>
      <c r="AN20" s="48"/>
      <c r="AO20" s="82"/>
      <c r="AP20" s="48"/>
      <c r="AQ20" s="82"/>
      <c r="AR20" s="48"/>
      <c r="AS20" s="82"/>
      <c r="AT20" s="48"/>
      <c r="AU20" s="82"/>
      <c r="AV20" s="48"/>
      <c r="AW20" s="82"/>
      <c r="AX20" s="48"/>
      <c r="AY20" s="82"/>
      <c r="AZ20" s="48"/>
      <c r="BA20" s="82"/>
      <c r="BB20" s="48"/>
      <c r="BC20" s="82"/>
      <c r="BD20" s="48"/>
      <c r="BE20" s="82"/>
      <c r="BF20" s="82"/>
      <c r="BG20" s="48"/>
      <c r="BH20" s="48"/>
      <c r="BI20" s="48"/>
      <c r="BJ20" s="48"/>
      <c r="BK20" s="48"/>
      <c r="BL20" s="48"/>
      <c r="BM20" s="48"/>
    </row>
    <row r="21" spans="1:65" ht="14.25" x14ac:dyDescent="0.2">
      <c r="A21" s="165" t="s">
        <v>171</v>
      </c>
      <c r="B21" s="48">
        <v>0</v>
      </c>
      <c r="C21" s="48">
        <v>86942</v>
      </c>
      <c r="D21" s="48"/>
      <c r="E21" s="48">
        <v>0</v>
      </c>
      <c r="F21" s="48">
        <v>12759</v>
      </c>
      <c r="G21" s="7"/>
      <c r="H21" s="48">
        <v>3000</v>
      </c>
      <c r="I21" s="48">
        <v>-250</v>
      </c>
      <c r="J21" s="48">
        <f t="shared" si="0"/>
        <v>0</v>
      </c>
      <c r="K21" s="48">
        <v>469</v>
      </c>
      <c r="L21" s="50">
        <f t="shared" si="1"/>
        <v>0</v>
      </c>
      <c r="M21" s="50">
        <f t="shared" si="2"/>
        <v>0</v>
      </c>
      <c r="N21" s="50">
        <v>0</v>
      </c>
      <c r="O21" s="50">
        <v>0</v>
      </c>
      <c r="P21" s="50">
        <v>0</v>
      </c>
      <c r="Q21" s="50"/>
      <c r="R21" s="50">
        <v>0</v>
      </c>
      <c r="S21" s="50">
        <v>0</v>
      </c>
      <c r="T21" s="50">
        <f t="shared" si="3"/>
        <v>0</v>
      </c>
      <c r="U21" s="172"/>
      <c r="V21" s="82"/>
      <c r="W21" s="82"/>
      <c r="X21" s="82">
        <v>0</v>
      </c>
      <c r="Y21" s="82"/>
      <c r="Z21" s="82"/>
      <c r="AA21" s="48"/>
      <c r="AB21" s="82"/>
      <c r="AC21" s="48"/>
      <c r="AD21" s="82"/>
      <c r="AE21" s="82"/>
      <c r="AF21" s="82"/>
      <c r="AG21" s="48"/>
      <c r="AH21" s="82"/>
      <c r="AI21" s="48"/>
      <c r="AJ21" s="82"/>
      <c r="AK21" s="48"/>
      <c r="AL21" s="82"/>
      <c r="AM21" s="48"/>
      <c r="AN21" s="48"/>
      <c r="AO21" s="82"/>
      <c r="AP21" s="48"/>
      <c r="AQ21" s="82"/>
      <c r="AR21" s="48"/>
      <c r="AS21" s="82"/>
      <c r="AT21" s="48"/>
      <c r="AU21" s="82"/>
      <c r="AV21" s="48"/>
      <c r="AW21" s="82"/>
      <c r="AX21" s="48"/>
      <c r="AY21" s="82"/>
      <c r="AZ21" s="48"/>
      <c r="BA21" s="82"/>
      <c r="BB21" s="48"/>
      <c r="BC21" s="82"/>
      <c r="BD21" s="48"/>
      <c r="BE21" s="82"/>
      <c r="BF21" s="82"/>
      <c r="BG21" s="48"/>
      <c r="BH21" s="48"/>
      <c r="BI21" s="48"/>
      <c r="BJ21" s="48"/>
      <c r="BK21" s="48"/>
      <c r="BL21" s="48"/>
      <c r="BM21" s="48"/>
    </row>
    <row r="22" spans="1:65" ht="14.25" x14ac:dyDescent="0.2">
      <c r="A22" s="165" t="s">
        <v>41</v>
      </c>
      <c r="B22" s="48">
        <v>42700</v>
      </c>
      <c r="C22" s="48">
        <f>42741</f>
        <v>42741</v>
      </c>
      <c r="D22" s="48"/>
      <c r="E22" s="48">
        <v>42700</v>
      </c>
      <c r="F22" s="48">
        <v>63851</v>
      </c>
      <c r="H22" s="48">
        <v>42700</v>
      </c>
      <c r="I22" s="48">
        <v>21134</v>
      </c>
      <c r="J22" s="48">
        <v>42700</v>
      </c>
      <c r="K22" s="48">
        <v>30000</v>
      </c>
      <c r="L22" s="50">
        <f t="shared" si="1"/>
        <v>30000</v>
      </c>
      <c r="M22" s="50">
        <v>15000</v>
      </c>
      <c r="N22" s="50">
        <v>30000</v>
      </c>
      <c r="O22" s="50">
        <v>57922</v>
      </c>
      <c r="P22" s="50">
        <v>57000</v>
      </c>
      <c r="Q22" s="50">
        <v>58808</v>
      </c>
      <c r="R22" s="50">
        <v>30000</v>
      </c>
      <c r="S22" s="50">
        <v>30000</v>
      </c>
      <c r="T22" s="50">
        <f t="shared" si="3"/>
        <v>30000</v>
      </c>
      <c r="U22" s="82">
        <v>30000</v>
      </c>
      <c r="V22" s="82"/>
      <c r="W22" s="82"/>
      <c r="X22" s="82"/>
      <c r="Y22" s="82"/>
      <c r="Z22" s="82"/>
      <c r="AA22" s="48"/>
      <c r="AB22" s="82"/>
      <c r="AC22" s="48"/>
      <c r="AD22" s="82"/>
      <c r="AE22" s="82"/>
      <c r="AF22" s="82"/>
      <c r="AG22" s="48"/>
      <c r="AH22" s="82"/>
      <c r="AI22" s="48"/>
      <c r="AJ22" s="82"/>
      <c r="AK22" s="48"/>
      <c r="AL22" s="82"/>
      <c r="AM22" s="48"/>
      <c r="AN22" s="48"/>
      <c r="AO22" s="82"/>
      <c r="AP22" s="48"/>
      <c r="AQ22" s="82"/>
      <c r="AR22" s="48"/>
      <c r="AS22" s="82"/>
      <c r="AT22" s="48"/>
      <c r="AU22" s="82"/>
      <c r="AV22" s="48"/>
      <c r="AW22" s="82"/>
      <c r="AX22" s="48"/>
      <c r="AY22" s="82"/>
      <c r="AZ22" s="48"/>
      <c r="BA22" s="82"/>
      <c r="BB22" s="48"/>
      <c r="BC22" s="82"/>
      <c r="BD22" s="48"/>
      <c r="BE22" s="82"/>
      <c r="BF22" s="82"/>
      <c r="BG22" s="48"/>
      <c r="BH22" s="48"/>
      <c r="BI22" s="48"/>
      <c r="BJ22" s="48"/>
      <c r="BK22" s="48"/>
      <c r="BL22" s="48"/>
      <c r="BM22" s="48"/>
    </row>
    <row r="23" spans="1:65" ht="14.25" x14ac:dyDescent="0.2">
      <c r="A23" s="165" t="s">
        <v>42</v>
      </c>
      <c r="B23" s="48">
        <v>25000</v>
      </c>
      <c r="C23" s="48">
        <v>26096</v>
      </c>
      <c r="D23" s="48"/>
      <c r="E23" s="48">
        <v>20000</v>
      </c>
      <c r="F23" s="48">
        <v>30401</v>
      </c>
      <c r="H23" s="48">
        <v>12500</v>
      </c>
      <c r="I23" s="48">
        <v>32448</v>
      </c>
      <c r="J23" s="48">
        <v>12500</v>
      </c>
      <c r="K23" s="48">
        <v>43091</v>
      </c>
      <c r="L23" s="50">
        <v>43000</v>
      </c>
      <c r="M23" s="50">
        <v>46468</v>
      </c>
      <c r="N23" s="50">
        <v>125000</v>
      </c>
      <c r="O23" s="50">
        <v>141724</v>
      </c>
      <c r="P23" s="50">
        <v>163000</v>
      </c>
      <c r="Q23" s="50">
        <v>80000</v>
      </c>
      <c r="R23" s="50">
        <v>29000</v>
      </c>
      <c r="S23" s="50">
        <v>30066</v>
      </c>
      <c r="T23" s="50">
        <f t="shared" si="3"/>
        <v>30000</v>
      </c>
      <c r="U23" s="82">
        <v>30000</v>
      </c>
      <c r="V23" s="82"/>
      <c r="W23" s="82"/>
      <c r="X23" s="82"/>
      <c r="Y23" s="82"/>
      <c r="Z23" s="82"/>
      <c r="AA23" s="48"/>
      <c r="AB23" s="82"/>
      <c r="AC23" s="48"/>
      <c r="AD23" s="82"/>
      <c r="AE23" s="82"/>
      <c r="AF23" s="82"/>
      <c r="AG23" s="48"/>
      <c r="AH23" s="82"/>
      <c r="AI23" s="48"/>
      <c r="AJ23" s="82">
        <v>0</v>
      </c>
      <c r="AK23" s="48"/>
      <c r="AL23" s="82"/>
      <c r="AM23" s="48"/>
      <c r="AN23" s="48"/>
      <c r="AO23" s="82"/>
      <c r="AP23" s="48">
        <v>0</v>
      </c>
      <c r="AQ23" s="82"/>
      <c r="AR23" s="48"/>
      <c r="AS23" s="82"/>
      <c r="AT23" s="48"/>
      <c r="AU23" s="82"/>
      <c r="AV23" s="48"/>
      <c r="AW23" s="82"/>
      <c r="AX23" s="48"/>
      <c r="AY23" s="82"/>
      <c r="AZ23" s="48"/>
      <c r="BA23" s="82"/>
      <c r="BB23" s="48"/>
      <c r="BC23" s="82"/>
      <c r="BD23" s="48"/>
      <c r="BE23" s="82"/>
      <c r="BF23" s="82"/>
      <c r="BG23" s="48"/>
      <c r="BH23" s="48"/>
      <c r="BI23" s="48"/>
      <c r="BJ23" s="48"/>
      <c r="BK23" s="48"/>
      <c r="BL23" s="48"/>
      <c r="BM23" s="48"/>
    </row>
    <row r="24" spans="1:65" ht="14.25" x14ac:dyDescent="0.2">
      <c r="A24" s="165" t="s">
        <v>61</v>
      </c>
      <c r="B24" s="48">
        <v>16500</v>
      </c>
      <c r="C24" s="48">
        <f>13120+25000</f>
        <v>38120</v>
      </c>
      <c r="D24" s="48"/>
      <c r="E24" s="48">
        <v>25000</v>
      </c>
      <c r="F24" s="48">
        <v>25000</v>
      </c>
      <c r="H24" s="48">
        <v>5000</v>
      </c>
      <c r="I24" s="48">
        <v>0</v>
      </c>
      <c r="J24" s="48">
        <v>5000</v>
      </c>
      <c r="K24" s="48">
        <v>0</v>
      </c>
      <c r="L24" s="50">
        <f t="shared" si="1"/>
        <v>0</v>
      </c>
      <c r="M24" s="50">
        <v>0</v>
      </c>
      <c r="N24" s="50">
        <v>5000</v>
      </c>
      <c r="O24" s="50">
        <v>1529</v>
      </c>
      <c r="P24" s="50">
        <v>0</v>
      </c>
      <c r="Q24" s="50"/>
      <c r="R24" s="50">
        <v>0</v>
      </c>
      <c r="S24" s="50">
        <v>0</v>
      </c>
      <c r="T24" s="50">
        <f t="shared" si="3"/>
        <v>0</v>
      </c>
      <c r="U24" s="82"/>
      <c r="V24" s="82"/>
      <c r="W24" s="82"/>
      <c r="X24" s="82"/>
      <c r="Y24" s="82"/>
      <c r="Z24" s="82"/>
      <c r="AA24" s="48"/>
      <c r="AB24" s="82"/>
      <c r="AC24" s="48"/>
      <c r="AD24" s="82"/>
      <c r="AE24" s="82"/>
      <c r="AF24" s="82"/>
      <c r="AG24" s="48"/>
      <c r="AH24" s="82"/>
      <c r="AI24" s="48" t="s">
        <v>14</v>
      </c>
      <c r="AJ24" s="82"/>
      <c r="AK24" s="48"/>
      <c r="AL24" s="82"/>
      <c r="AM24" s="48"/>
      <c r="AN24" s="48"/>
      <c r="AO24" s="82"/>
      <c r="AP24" s="48"/>
      <c r="AQ24" s="82"/>
      <c r="AR24" s="48"/>
      <c r="AS24" s="82"/>
      <c r="AT24" s="48"/>
      <c r="AU24" s="82"/>
      <c r="AV24" s="48"/>
      <c r="AW24" s="82"/>
      <c r="AX24" s="48"/>
      <c r="AY24" s="82" t="s">
        <v>14</v>
      </c>
      <c r="AZ24" s="48"/>
      <c r="BA24" s="82"/>
      <c r="BB24" s="48"/>
      <c r="BC24" s="82"/>
      <c r="BD24" s="48"/>
      <c r="BE24" s="82"/>
      <c r="BF24" s="82"/>
      <c r="BG24" s="48"/>
      <c r="BH24" s="48"/>
      <c r="BI24" s="48"/>
      <c r="BJ24" s="48"/>
      <c r="BK24" s="48"/>
      <c r="BL24" s="48"/>
      <c r="BM24" s="48"/>
    </row>
    <row r="25" spans="1:65" ht="14.25" x14ac:dyDescent="0.2">
      <c r="A25" s="166" t="s">
        <v>111</v>
      </c>
      <c r="B25" s="67">
        <v>0</v>
      </c>
      <c r="C25" s="67">
        <v>1000</v>
      </c>
      <c r="D25" s="67"/>
      <c r="E25" s="67">
        <v>0</v>
      </c>
      <c r="F25" s="67">
        <v>641</v>
      </c>
      <c r="G25" s="3"/>
      <c r="H25" s="67">
        <v>0</v>
      </c>
      <c r="I25" s="67">
        <f t="shared" ref="I25" si="4">SUM(V25:BG25)</f>
        <v>0</v>
      </c>
      <c r="J25" s="67">
        <f t="shared" si="0"/>
        <v>0</v>
      </c>
      <c r="K25" s="67">
        <f t="shared" ref="K25" si="5">SUM(X25:BI25)</f>
        <v>0</v>
      </c>
      <c r="L25" s="67">
        <f t="shared" si="1"/>
        <v>0</v>
      </c>
      <c r="M25" s="67">
        <f>SUM(V25:BG25)</f>
        <v>0</v>
      </c>
      <c r="N25" s="50">
        <v>0</v>
      </c>
      <c r="O25" s="50">
        <v>0</v>
      </c>
      <c r="P25" s="50">
        <v>0</v>
      </c>
      <c r="Q25" s="50"/>
      <c r="R25" s="50">
        <v>0</v>
      </c>
      <c r="S25" s="50">
        <v>0</v>
      </c>
      <c r="T25" s="50">
        <f t="shared" si="3"/>
        <v>0</v>
      </c>
      <c r="U25" s="83" t="s">
        <v>14</v>
      </c>
      <c r="V25" s="83"/>
      <c r="W25" s="83"/>
      <c r="X25" s="83"/>
      <c r="Y25" s="83"/>
      <c r="Z25" s="83"/>
      <c r="AA25" s="67"/>
      <c r="AB25" s="83"/>
      <c r="AC25" s="67"/>
      <c r="AD25" s="83"/>
      <c r="AE25" s="83"/>
      <c r="AF25" s="83"/>
      <c r="AG25" s="67"/>
      <c r="AH25" s="83"/>
      <c r="AI25" s="67"/>
      <c r="AJ25" s="83"/>
      <c r="AK25" s="67"/>
      <c r="AL25" s="83"/>
      <c r="AM25" s="67"/>
      <c r="AN25" s="67"/>
      <c r="AO25" s="83"/>
      <c r="AP25" s="67"/>
      <c r="AQ25" s="83"/>
      <c r="AR25" s="67"/>
      <c r="AS25" s="83"/>
      <c r="AT25" s="67"/>
      <c r="AU25" s="83"/>
      <c r="AV25" s="67"/>
      <c r="AW25" s="83"/>
      <c r="AX25" s="67"/>
      <c r="AY25" s="83"/>
      <c r="AZ25" s="67"/>
      <c r="BA25" s="83"/>
      <c r="BB25" s="67"/>
      <c r="BC25" s="83"/>
      <c r="BD25" s="67"/>
      <c r="BE25" s="83"/>
      <c r="BF25" s="83"/>
      <c r="BG25" s="48"/>
      <c r="BH25" s="48"/>
      <c r="BI25" s="48"/>
      <c r="BJ25" s="48"/>
      <c r="BK25" s="48"/>
      <c r="BL25" s="48"/>
      <c r="BM25" s="48"/>
    </row>
    <row r="26" spans="1:65" s="1" customFormat="1" x14ac:dyDescent="0.2">
      <c r="A26" s="1" t="s">
        <v>31</v>
      </c>
      <c r="B26" s="49">
        <f>SUM(B6:B25)</f>
        <v>762400</v>
      </c>
      <c r="C26" s="49">
        <f>SUM(C6:C25)</f>
        <v>722121.94</v>
      </c>
      <c r="D26" s="49"/>
      <c r="E26" s="49">
        <f>SUM(E6:E25)</f>
        <v>716350</v>
      </c>
      <c r="F26" s="49">
        <f>SUM(F6:F25)</f>
        <v>684885</v>
      </c>
      <c r="H26" s="49">
        <f t="shared" ref="H26:U26" si="6">SUM(H6:H25)</f>
        <v>717050</v>
      </c>
      <c r="I26" s="49">
        <f t="shared" si="6"/>
        <v>670512</v>
      </c>
      <c r="J26" s="49">
        <f t="shared" si="6"/>
        <v>679050</v>
      </c>
      <c r="K26" s="49">
        <f t="shared" si="6"/>
        <v>338247</v>
      </c>
      <c r="L26" s="89">
        <f t="shared" si="6"/>
        <v>752020</v>
      </c>
      <c r="M26" s="89">
        <f t="shared" ref="M26:T26" si="7">SUM(M6:M25)</f>
        <v>294133</v>
      </c>
      <c r="N26" s="89">
        <f t="shared" si="7"/>
        <v>628750</v>
      </c>
      <c r="O26" s="89">
        <f t="shared" si="7"/>
        <v>657473</v>
      </c>
      <c r="P26" s="89">
        <f t="shared" si="7"/>
        <v>928000</v>
      </c>
      <c r="Q26" s="89">
        <f t="shared" si="7"/>
        <v>700643</v>
      </c>
      <c r="R26" s="89">
        <f t="shared" si="7"/>
        <v>718500</v>
      </c>
      <c r="S26" s="89">
        <f t="shared" si="7"/>
        <v>672582.5</v>
      </c>
      <c r="T26" s="89">
        <f t="shared" si="7"/>
        <v>905520</v>
      </c>
      <c r="U26" s="89">
        <f t="shared" si="6"/>
        <v>357000</v>
      </c>
      <c r="V26" s="89">
        <f t="shared" ref="V26:BF26" si="8">SUM(V6:V25)</f>
        <v>0</v>
      </c>
      <c r="W26" s="89">
        <f t="shared" si="8"/>
        <v>0</v>
      </c>
      <c r="X26" s="89">
        <f t="shared" si="8"/>
        <v>0</v>
      </c>
      <c r="Y26" s="89">
        <v>0</v>
      </c>
      <c r="Z26" s="89">
        <f t="shared" si="8"/>
        <v>0</v>
      </c>
      <c r="AA26" s="89">
        <f t="shared" si="8"/>
        <v>15000</v>
      </c>
      <c r="AB26" s="89">
        <f t="shared" si="8"/>
        <v>11000</v>
      </c>
      <c r="AC26" s="89">
        <f t="shared" si="8"/>
        <v>0</v>
      </c>
      <c r="AD26" s="89">
        <f t="shared" si="8"/>
        <v>0</v>
      </c>
      <c r="AE26" s="89">
        <f t="shared" si="8"/>
        <v>3000</v>
      </c>
      <c r="AF26" s="89">
        <f t="shared" si="8"/>
        <v>0</v>
      </c>
      <c r="AG26" s="89">
        <f t="shared" si="8"/>
        <v>0</v>
      </c>
      <c r="AH26" s="89">
        <f t="shared" si="8"/>
        <v>0</v>
      </c>
      <c r="AI26" s="89">
        <f t="shared" si="8"/>
        <v>0</v>
      </c>
      <c r="AJ26" s="89">
        <f t="shared" si="8"/>
        <v>100500</v>
      </c>
      <c r="AK26" s="89">
        <f t="shared" si="8"/>
        <v>15800</v>
      </c>
      <c r="AL26" s="89">
        <f t="shared" si="8"/>
        <v>54000</v>
      </c>
      <c r="AM26" s="89">
        <f t="shared" si="8"/>
        <v>7000</v>
      </c>
      <c r="AN26" s="89">
        <f t="shared" si="8"/>
        <v>93120</v>
      </c>
      <c r="AO26" s="89">
        <f t="shared" si="8"/>
        <v>0</v>
      </c>
      <c r="AP26" s="92">
        <f t="shared" si="8"/>
        <v>76200</v>
      </c>
      <c r="AQ26" s="89">
        <f t="shared" si="8"/>
        <v>0</v>
      </c>
      <c r="AR26" s="89">
        <f t="shared" si="8"/>
        <v>42000</v>
      </c>
      <c r="AS26" s="89">
        <f t="shared" si="8"/>
        <v>80000</v>
      </c>
      <c r="AT26" s="89">
        <f t="shared" si="8"/>
        <v>12500</v>
      </c>
      <c r="AU26" s="89">
        <f t="shared" si="8"/>
        <v>0</v>
      </c>
      <c r="AV26" s="89">
        <f t="shared" si="8"/>
        <v>0</v>
      </c>
      <c r="AW26" s="89">
        <f t="shared" si="8"/>
        <v>0</v>
      </c>
      <c r="AX26" s="89">
        <f t="shared" si="8"/>
        <v>19200</v>
      </c>
      <c r="AY26" s="89">
        <f t="shared" si="8"/>
        <v>14400</v>
      </c>
      <c r="AZ26" s="89">
        <f t="shared" si="8"/>
        <v>4800</v>
      </c>
      <c r="BA26" s="89">
        <f t="shared" si="8"/>
        <v>0</v>
      </c>
      <c r="BB26" s="89">
        <f t="shared" si="8"/>
        <v>0</v>
      </c>
      <c r="BC26" s="89">
        <f t="shared" si="8"/>
        <v>0</v>
      </c>
      <c r="BD26" s="92">
        <f t="shared" si="8"/>
        <v>0</v>
      </c>
      <c r="BE26" s="92">
        <f t="shared" si="8"/>
        <v>0</v>
      </c>
      <c r="BF26" s="89">
        <f t="shared" si="8"/>
        <v>0</v>
      </c>
      <c r="BG26" s="49"/>
      <c r="BH26" s="49"/>
      <c r="BI26" s="49"/>
      <c r="BJ26" s="49"/>
      <c r="BK26" s="49"/>
      <c r="BL26" s="49"/>
      <c r="BM26" s="49"/>
    </row>
    <row r="27" spans="1:65" x14ac:dyDescent="0.2">
      <c r="B27" s="48"/>
      <c r="C27" s="48"/>
      <c r="D27" s="48"/>
      <c r="E27" s="48"/>
      <c r="F27" s="48"/>
      <c r="H27" s="48"/>
      <c r="I27" s="48"/>
      <c r="J27" s="48"/>
      <c r="K27" s="48"/>
      <c r="S27" s="48"/>
      <c r="T27" s="50">
        <f t="shared" si="3"/>
        <v>0</v>
      </c>
      <c r="U27" s="82"/>
      <c r="V27" s="82"/>
      <c r="W27" s="82"/>
      <c r="X27" s="82"/>
      <c r="Y27" s="82"/>
      <c r="Z27" s="82"/>
      <c r="AA27" s="48"/>
      <c r="AB27" s="82"/>
      <c r="AC27" s="48"/>
      <c r="AD27" s="82"/>
      <c r="AE27" s="82"/>
      <c r="AF27" s="82"/>
      <c r="AG27" s="48"/>
      <c r="AH27" s="82"/>
      <c r="AI27" s="48"/>
      <c r="AJ27" s="82"/>
      <c r="AK27" s="48"/>
      <c r="AL27" s="82"/>
      <c r="AM27" s="48"/>
      <c r="AN27" s="48"/>
      <c r="AO27" s="82"/>
      <c r="AP27" s="48"/>
      <c r="AQ27" s="82"/>
      <c r="AR27" s="48"/>
      <c r="AS27" s="82"/>
      <c r="AT27" s="48"/>
      <c r="AU27" s="82"/>
      <c r="AV27" s="48"/>
      <c r="AW27" s="82"/>
      <c r="AX27" s="48"/>
      <c r="AY27" s="82"/>
      <c r="AZ27" s="48"/>
      <c r="BA27" s="82"/>
      <c r="BB27" s="48"/>
      <c r="BC27" s="82"/>
      <c r="BD27" s="48"/>
      <c r="BE27" s="82"/>
      <c r="BF27" s="82"/>
      <c r="BG27" s="48"/>
      <c r="BH27" s="48"/>
      <c r="BI27" s="48"/>
      <c r="BJ27" s="48"/>
      <c r="BK27" s="48"/>
      <c r="BL27" s="48"/>
      <c r="BM27" s="48"/>
    </row>
    <row r="28" spans="1:65" ht="14.25" x14ac:dyDescent="0.2">
      <c r="A28" s="165" t="s">
        <v>180</v>
      </c>
      <c r="B28" s="48">
        <v>0</v>
      </c>
      <c r="C28" s="48">
        <v>0</v>
      </c>
      <c r="D28" s="48"/>
      <c r="E28" s="48">
        <v>0</v>
      </c>
      <c r="F28" s="48">
        <v>0</v>
      </c>
      <c r="H28" s="48">
        <v>0</v>
      </c>
      <c r="I28" s="48">
        <v>0</v>
      </c>
      <c r="J28" s="48">
        <v>0</v>
      </c>
      <c r="K28" s="48">
        <v>0</v>
      </c>
      <c r="L28" s="2">
        <v>0</v>
      </c>
      <c r="M28" s="48">
        <v>7950</v>
      </c>
      <c r="N28" s="50">
        <v>0</v>
      </c>
      <c r="O28" s="50">
        <v>17570</v>
      </c>
      <c r="P28" s="50">
        <v>18000</v>
      </c>
      <c r="Q28" s="50">
        <v>46260</v>
      </c>
      <c r="R28" s="50">
        <v>21000</v>
      </c>
      <c r="S28" s="50">
        <v>25510</v>
      </c>
      <c r="T28" s="50">
        <f t="shared" si="3"/>
        <v>25000</v>
      </c>
      <c r="U28" s="82">
        <v>25000</v>
      </c>
      <c r="V28" s="82"/>
      <c r="W28" s="82"/>
      <c r="X28" s="82"/>
      <c r="Y28" s="82"/>
      <c r="Z28" s="82"/>
      <c r="AA28" s="48"/>
      <c r="AB28" s="82"/>
      <c r="AC28" s="48"/>
      <c r="AD28" s="82"/>
      <c r="AE28" s="82"/>
      <c r="AF28" s="82"/>
      <c r="AG28" s="48"/>
      <c r="AH28" s="82"/>
      <c r="AI28" s="48"/>
      <c r="AJ28" s="82"/>
      <c r="AK28" s="48"/>
      <c r="AL28" s="82"/>
      <c r="AM28" s="48"/>
      <c r="AN28" s="48"/>
      <c r="AO28" s="82"/>
      <c r="AP28" s="48"/>
      <c r="AQ28" s="82"/>
      <c r="AR28" s="48"/>
      <c r="AS28" s="82"/>
      <c r="AT28" s="48"/>
      <c r="AU28" s="82"/>
      <c r="AV28" s="48"/>
      <c r="AW28" s="82"/>
      <c r="AX28" s="48"/>
      <c r="AY28" s="82"/>
      <c r="AZ28" s="48"/>
      <c r="BA28" s="82"/>
      <c r="BB28" s="48"/>
      <c r="BC28" s="82"/>
      <c r="BD28" s="48"/>
      <c r="BE28" s="82"/>
      <c r="BF28" s="82"/>
      <c r="BG28" s="48"/>
      <c r="BH28" s="48"/>
      <c r="BI28" s="48"/>
      <c r="BJ28" s="48"/>
      <c r="BK28" s="48"/>
      <c r="BL28" s="48"/>
      <c r="BM28" s="48"/>
    </row>
    <row r="29" spans="1:65" ht="14.25" x14ac:dyDescent="0.2">
      <c r="A29" s="165" t="s">
        <v>62</v>
      </c>
      <c r="B29" s="48">
        <v>239360</v>
      </c>
      <c r="C29" s="48">
        <v>167877</v>
      </c>
      <c r="D29" s="48"/>
      <c r="E29" s="48">
        <v>196500</v>
      </c>
      <c r="F29" s="48">
        <v>172959</v>
      </c>
      <c r="H29" s="48">
        <v>235900</v>
      </c>
      <c r="I29" s="48">
        <f>196089+9900</f>
        <v>205989</v>
      </c>
      <c r="J29" s="48">
        <v>280000</v>
      </c>
      <c r="K29" s="48">
        <v>11640</v>
      </c>
      <c r="L29" s="50">
        <v>251700</v>
      </c>
      <c r="M29" s="50">
        <v>126886</v>
      </c>
      <c r="N29" s="50">
        <v>276700</v>
      </c>
      <c r="O29" s="50">
        <v>331445</v>
      </c>
      <c r="P29" s="50">
        <v>475900</v>
      </c>
      <c r="Q29" s="50">
        <v>425771</v>
      </c>
      <c r="R29" s="50">
        <v>388200</v>
      </c>
      <c r="S29" s="50">
        <v>328036</v>
      </c>
      <c r="T29" s="50">
        <f t="shared" si="3"/>
        <v>428550</v>
      </c>
      <c r="U29" s="82"/>
      <c r="V29" s="82">
        <v>0</v>
      </c>
      <c r="W29" s="82"/>
      <c r="X29" s="82"/>
      <c r="Y29" s="82"/>
      <c r="Z29" s="82"/>
      <c r="AA29" s="48">
        <v>13000</v>
      </c>
      <c r="AB29" s="82">
        <v>7900</v>
      </c>
      <c r="AC29" s="48" t="s">
        <v>14</v>
      </c>
      <c r="AD29" s="82" t="s">
        <v>14</v>
      </c>
      <c r="AE29" s="82"/>
      <c r="AF29" s="82"/>
      <c r="AG29" s="48"/>
      <c r="AH29" s="82"/>
      <c r="AI29" s="48" t="s">
        <v>14</v>
      </c>
      <c r="AJ29" s="82">
        <v>43230</v>
      </c>
      <c r="AK29" s="48">
        <v>31000</v>
      </c>
      <c r="AL29" s="82">
        <v>40000</v>
      </c>
      <c r="AM29" s="48">
        <v>12000</v>
      </c>
      <c r="AN29" s="48">
        <f>72960+32880</f>
        <v>105840</v>
      </c>
      <c r="AO29" s="82" t="s">
        <v>14</v>
      </c>
      <c r="AP29" s="48">
        <v>52000</v>
      </c>
      <c r="AQ29" s="82">
        <v>0</v>
      </c>
      <c r="AR29" s="48">
        <v>45000</v>
      </c>
      <c r="AS29" s="82">
        <v>30000</v>
      </c>
      <c r="AT29" s="48">
        <v>0</v>
      </c>
      <c r="AU29" s="82"/>
      <c r="AV29" s="48">
        <v>16000</v>
      </c>
      <c r="AW29" s="82"/>
      <c r="AX29" s="48">
        <v>13000</v>
      </c>
      <c r="AY29" s="82">
        <v>14000</v>
      </c>
      <c r="AZ29" s="48">
        <v>5580</v>
      </c>
      <c r="BA29" s="82">
        <v>0</v>
      </c>
      <c r="BB29" s="48"/>
      <c r="BC29" s="82" t="s">
        <v>14</v>
      </c>
      <c r="BD29" s="48"/>
      <c r="BE29" s="82"/>
      <c r="BF29" s="82"/>
      <c r="BG29" s="48"/>
      <c r="BH29" s="48"/>
      <c r="BI29" s="48"/>
      <c r="BJ29" s="48"/>
      <c r="BK29" s="48"/>
      <c r="BL29" s="48"/>
      <c r="BM29" s="48"/>
    </row>
    <row r="30" spans="1:65" ht="14.25" x14ac:dyDescent="0.2">
      <c r="A30" s="165" t="s">
        <v>63</v>
      </c>
      <c r="B30" s="48">
        <v>5200</v>
      </c>
      <c r="C30" s="48">
        <v>4650</v>
      </c>
      <c r="D30" s="48"/>
      <c r="E30" s="48">
        <v>4900</v>
      </c>
      <c r="F30" s="48">
        <v>5370</v>
      </c>
      <c r="H30" s="48">
        <v>4900</v>
      </c>
      <c r="I30" s="48">
        <v>2520</v>
      </c>
      <c r="J30" s="48">
        <v>4900</v>
      </c>
      <c r="K30" s="48">
        <v>0</v>
      </c>
      <c r="L30" s="50">
        <f t="shared" ref="L30:L42" si="9">SUM(U30:BF30)</f>
        <v>103300</v>
      </c>
      <c r="M30" s="50">
        <v>0</v>
      </c>
      <c r="N30" s="50">
        <v>5900</v>
      </c>
      <c r="O30" s="50">
        <v>58030.2</v>
      </c>
      <c r="P30" s="50">
        <v>70000</v>
      </c>
      <c r="Q30" s="50">
        <v>46975</v>
      </c>
      <c r="R30" s="50">
        <v>49500</v>
      </c>
      <c r="S30" s="50">
        <v>67531</v>
      </c>
      <c r="T30" s="50">
        <f t="shared" si="3"/>
        <v>103300</v>
      </c>
      <c r="U30" s="82"/>
      <c r="V30" s="82"/>
      <c r="W30" s="82"/>
      <c r="X30" s="82"/>
      <c r="Y30" s="82"/>
      <c r="Z30" s="82"/>
      <c r="AA30" s="48">
        <v>0</v>
      </c>
      <c r="AB30" s="82">
        <v>0</v>
      </c>
      <c r="AC30" s="48"/>
      <c r="AD30" s="82"/>
      <c r="AE30" s="82"/>
      <c r="AF30" s="82"/>
      <c r="AG30" s="48"/>
      <c r="AH30" s="82"/>
      <c r="AI30" s="48">
        <v>4000</v>
      </c>
      <c r="AJ30" s="82">
        <v>86300</v>
      </c>
      <c r="AK30" s="48"/>
      <c r="AL30" s="82"/>
      <c r="AM30" s="48"/>
      <c r="AN30" s="48"/>
      <c r="AO30" s="82"/>
      <c r="AP30" s="48"/>
      <c r="AQ30" s="82"/>
      <c r="AR30" s="48"/>
      <c r="AS30" s="82"/>
      <c r="AT30" s="48"/>
      <c r="AU30" s="82"/>
      <c r="AV30" s="48"/>
      <c r="AW30" s="82"/>
      <c r="AX30" s="48">
        <v>11000</v>
      </c>
      <c r="AY30" s="82">
        <v>2000</v>
      </c>
      <c r="AZ30" s="48"/>
      <c r="BA30" s="82"/>
      <c r="BB30" s="48"/>
      <c r="BC30" s="82"/>
      <c r="BD30" s="48"/>
      <c r="BE30" s="82"/>
      <c r="BF30" s="82"/>
      <c r="BG30" s="48"/>
      <c r="BH30" s="48"/>
      <c r="BI30" s="48"/>
      <c r="BJ30" s="48"/>
      <c r="BK30" s="48"/>
      <c r="BL30" s="48"/>
      <c r="BM30" s="48"/>
    </row>
    <row r="31" spans="1:65" ht="14.25" x14ac:dyDescent="0.2">
      <c r="A31" s="165" t="s">
        <v>64</v>
      </c>
      <c r="B31" s="48">
        <v>48900</v>
      </c>
      <c r="C31" s="48">
        <v>40994</v>
      </c>
      <c r="D31" s="48"/>
      <c r="E31" s="48">
        <v>36900</v>
      </c>
      <c r="F31" s="48">
        <v>48414</v>
      </c>
      <c r="H31" s="48">
        <v>36900</v>
      </c>
      <c r="I31" s="48">
        <v>9491</v>
      </c>
      <c r="J31" s="48">
        <v>49900</v>
      </c>
      <c r="K31" s="48">
        <v>0</v>
      </c>
      <c r="L31" s="50">
        <v>41400</v>
      </c>
      <c r="M31" s="50">
        <v>26700</v>
      </c>
      <c r="N31" s="50">
        <v>46900</v>
      </c>
      <c r="O31" s="50">
        <v>43478</v>
      </c>
      <c r="P31" s="50">
        <v>64200</v>
      </c>
      <c r="Q31" s="50">
        <v>101532</v>
      </c>
      <c r="R31" s="50">
        <v>96775</v>
      </c>
      <c r="S31" s="50">
        <v>101875</v>
      </c>
      <c r="T31" s="50">
        <f t="shared" si="3"/>
        <v>106250</v>
      </c>
      <c r="U31" s="82"/>
      <c r="V31" s="82"/>
      <c r="W31" s="82"/>
      <c r="X31" s="82"/>
      <c r="Y31" s="82"/>
      <c r="Z31" s="82"/>
      <c r="AA31" s="48">
        <v>3500</v>
      </c>
      <c r="AB31" s="82">
        <v>1000</v>
      </c>
      <c r="AC31" s="48"/>
      <c r="AD31" s="82"/>
      <c r="AE31" s="82"/>
      <c r="AF31" s="82"/>
      <c r="AG31" s="48"/>
      <c r="AH31" s="82"/>
      <c r="AI31" s="48">
        <v>3000</v>
      </c>
      <c r="AJ31" s="82"/>
      <c r="AK31" s="48"/>
      <c r="AL31" s="82">
        <v>24000</v>
      </c>
      <c r="AM31" s="48">
        <v>2750</v>
      </c>
      <c r="AN31" s="48"/>
      <c r="AO31" s="82"/>
      <c r="AP31" s="48">
        <v>35000</v>
      </c>
      <c r="AQ31" s="82"/>
      <c r="AR31" s="48">
        <v>22000</v>
      </c>
      <c r="AS31" s="82">
        <v>0</v>
      </c>
      <c r="AT31" s="48">
        <v>12000</v>
      </c>
      <c r="AU31" s="82"/>
      <c r="AV31" s="48">
        <v>3000</v>
      </c>
      <c r="AW31" s="82"/>
      <c r="AX31" s="48"/>
      <c r="AY31" s="82"/>
      <c r="AZ31" s="48"/>
      <c r="BA31" s="82"/>
      <c r="BB31" s="48"/>
      <c r="BC31" s="82"/>
      <c r="BD31" s="48"/>
      <c r="BE31" s="82"/>
      <c r="BF31" s="82"/>
      <c r="BG31" s="48"/>
      <c r="BH31" s="48"/>
      <c r="BI31" s="48"/>
      <c r="BJ31" s="48"/>
      <c r="BK31" s="48"/>
      <c r="BL31" s="48"/>
      <c r="BM31" s="48"/>
    </row>
    <row r="32" spans="1:65" ht="14.25" x14ac:dyDescent="0.2">
      <c r="A32" s="165" t="s">
        <v>65</v>
      </c>
      <c r="B32" s="48">
        <v>2200</v>
      </c>
      <c r="C32" s="48">
        <v>2260</v>
      </c>
      <c r="D32" s="48"/>
      <c r="E32" s="48">
        <v>2500</v>
      </c>
      <c r="F32" s="48">
        <v>1991</v>
      </c>
      <c r="H32" s="48">
        <v>2900</v>
      </c>
      <c r="I32" s="48">
        <v>2635</v>
      </c>
      <c r="J32" s="48">
        <v>2900</v>
      </c>
      <c r="K32" s="48">
        <v>0</v>
      </c>
      <c r="L32" s="50">
        <f t="shared" si="9"/>
        <v>500</v>
      </c>
      <c r="M32" s="50">
        <v>1372</v>
      </c>
      <c r="N32" s="50">
        <v>900</v>
      </c>
      <c r="O32" s="50">
        <v>4869</v>
      </c>
      <c r="P32" s="50">
        <v>2400</v>
      </c>
      <c r="Q32" s="50">
        <v>275</v>
      </c>
      <c r="R32" s="50">
        <v>900</v>
      </c>
      <c r="S32" s="50">
        <v>300</v>
      </c>
      <c r="T32" s="50">
        <f t="shared" si="3"/>
        <v>500</v>
      </c>
      <c r="U32" s="82">
        <v>0</v>
      </c>
      <c r="V32" s="82">
        <v>500</v>
      </c>
      <c r="W32" s="82"/>
      <c r="X32" s="82"/>
      <c r="Y32" s="82"/>
      <c r="Z32" s="82"/>
      <c r="AA32" s="48"/>
      <c r="AB32" s="82"/>
      <c r="AC32" s="48"/>
      <c r="AD32" s="82"/>
      <c r="AE32" s="82"/>
      <c r="AF32" s="82"/>
      <c r="AG32" s="48"/>
      <c r="AH32" s="82"/>
      <c r="AI32" s="48"/>
      <c r="AJ32" s="82"/>
      <c r="AK32" s="48"/>
      <c r="AL32" s="82"/>
      <c r="AM32" s="48"/>
      <c r="AN32" s="48"/>
      <c r="AO32" s="82"/>
      <c r="AP32" s="48"/>
      <c r="AQ32" s="82"/>
      <c r="AR32" s="48"/>
      <c r="AS32" s="82"/>
      <c r="AT32" s="48"/>
      <c r="AU32" s="82"/>
      <c r="AV32" s="48"/>
      <c r="AW32" s="82"/>
      <c r="AX32" s="48"/>
      <c r="AY32" s="82"/>
      <c r="AZ32" s="48"/>
      <c r="BA32" s="82"/>
      <c r="BB32" s="48"/>
      <c r="BC32" s="82"/>
      <c r="BD32" s="48"/>
      <c r="BE32" s="82"/>
      <c r="BF32" s="82"/>
      <c r="BG32" s="48"/>
      <c r="BH32" s="48"/>
      <c r="BI32" s="48"/>
      <c r="BJ32" s="48"/>
      <c r="BK32" s="48"/>
      <c r="BL32" s="48"/>
      <c r="BM32" s="48"/>
    </row>
    <row r="33" spans="1:65" ht="14.25" x14ac:dyDescent="0.2">
      <c r="A33" s="165" t="s">
        <v>66</v>
      </c>
      <c r="B33" s="48">
        <v>23500</v>
      </c>
      <c r="C33" s="48">
        <v>17699</v>
      </c>
      <c r="D33" s="48"/>
      <c r="E33" s="48">
        <v>21650</v>
      </c>
      <c r="F33" s="48">
        <v>36132</v>
      </c>
      <c r="H33" s="48">
        <v>21650</v>
      </c>
      <c r="I33" s="48">
        <v>27731</v>
      </c>
      <c r="J33" s="48">
        <v>21650</v>
      </c>
      <c r="K33" s="48">
        <v>4949</v>
      </c>
      <c r="L33" s="50">
        <v>25050</v>
      </c>
      <c r="M33" s="50">
        <v>11300</v>
      </c>
      <c r="N33" s="50">
        <v>24050</v>
      </c>
      <c r="O33" s="50">
        <v>42030</v>
      </c>
      <c r="P33" s="50">
        <v>17150</v>
      </c>
      <c r="Q33" s="50">
        <v>51215</v>
      </c>
      <c r="R33" s="50">
        <v>47400</v>
      </c>
      <c r="S33" s="50">
        <v>32686</v>
      </c>
      <c r="T33" s="50">
        <f t="shared" si="3"/>
        <v>33000</v>
      </c>
      <c r="U33" s="82"/>
      <c r="V33" s="82"/>
      <c r="W33" s="82"/>
      <c r="X33" s="82"/>
      <c r="Y33" s="82"/>
      <c r="Z33" s="82"/>
      <c r="AA33" s="48">
        <v>1500</v>
      </c>
      <c r="AB33" s="82">
        <v>500</v>
      </c>
      <c r="AC33" s="48" t="s">
        <v>14</v>
      </c>
      <c r="AD33" s="82"/>
      <c r="AE33" s="82"/>
      <c r="AF33" s="82"/>
      <c r="AG33" s="48"/>
      <c r="AH33" s="82"/>
      <c r="AI33" s="48"/>
      <c r="AJ33" s="82"/>
      <c r="AK33" s="48">
        <v>5000</v>
      </c>
      <c r="AL33" s="82">
        <v>10000</v>
      </c>
      <c r="AM33" s="48">
        <v>4000</v>
      </c>
      <c r="AN33" s="48"/>
      <c r="AO33" s="82"/>
      <c r="AP33" s="48">
        <v>8000</v>
      </c>
      <c r="AQ33" s="82"/>
      <c r="AR33" s="48">
        <v>500</v>
      </c>
      <c r="AS33" s="82">
        <v>1500</v>
      </c>
      <c r="AT33" s="48">
        <v>0</v>
      </c>
      <c r="AU33" s="82"/>
      <c r="AV33" s="48">
        <v>2000</v>
      </c>
      <c r="AW33" s="82"/>
      <c r="AX33" s="48"/>
      <c r="AY33" s="82"/>
      <c r="AZ33" s="48"/>
      <c r="BA33" s="82"/>
      <c r="BB33" s="48"/>
      <c r="BC33" s="82"/>
      <c r="BD33" s="48"/>
      <c r="BE33" s="82"/>
      <c r="BF33" s="82"/>
      <c r="BG33" s="48"/>
      <c r="BH33" s="48"/>
      <c r="BI33" s="48"/>
      <c r="BJ33" s="48"/>
      <c r="BK33" s="48"/>
      <c r="BL33" s="48"/>
      <c r="BM33" s="48"/>
    </row>
    <row r="34" spans="1:65" ht="14.25" x14ac:dyDescent="0.2">
      <c r="A34" s="165" t="s">
        <v>67</v>
      </c>
      <c r="B34" s="48">
        <v>7000</v>
      </c>
      <c r="C34" s="48">
        <v>6700</v>
      </c>
      <c r="D34" s="48"/>
      <c r="E34" s="48">
        <v>7000</v>
      </c>
      <c r="F34" s="48">
        <v>12820</v>
      </c>
      <c r="H34" s="48">
        <v>7000</v>
      </c>
      <c r="I34" s="48">
        <v>6925</v>
      </c>
      <c r="J34" s="48">
        <v>7000</v>
      </c>
      <c r="K34" s="48">
        <v>0</v>
      </c>
      <c r="L34" s="50">
        <v>9000</v>
      </c>
      <c r="M34" s="50">
        <v>15200</v>
      </c>
      <c r="N34" s="50">
        <v>5000</v>
      </c>
      <c r="O34" s="50">
        <v>28764</v>
      </c>
      <c r="P34" s="50">
        <v>4500</v>
      </c>
      <c r="Q34" s="50">
        <v>16950</v>
      </c>
      <c r="R34" s="50">
        <v>3300</v>
      </c>
      <c r="S34" s="50">
        <v>46575</v>
      </c>
      <c r="T34" s="50">
        <f t="shared" si="3"/>
        <v>105300</v>
      </c>
      <c r="U34" s="82"/>
      <c r="V34" s="82"/>
      <c r="W34" s="82"/>
      <c r="X34" s="82"/>
      <c r="Y34" s="82"/>
      <c r="Z34" s="82"/>
      <c r="AA34" s="48"/>
      <c r="AB34" s="82"/>
      <c r="AC34" s="48"/>
      <c r="AD34" s="82"/>
      <c r="AE34" s="82"/>
      <c r="AF34" s="82"/>
      <c r="AG34" s="48"/>
      <c r="AH34" s="82"/>
      <c r="AI34" s="48">
        <v>1000</v>
      </c>
      <c r="AJ34" s="82">
        <v>77800</v>
      </c>
      <c r="AK34" s="48"/>
      <c r="AL34" s="82"/>
      <c r="AM34" s="48"/>
      <c r="AN34" s="48"/>
      <c r="AO34" s="82"/>
      <c r="AP34" s="48" t="s">
        <v>14</v>
      </c>
      <c r="AQ34" s="82"/>
      <c r="AR34" s="48"/>
      <c r="AS34" s="82">
        <v>26000</v>
      </c>
      <c r="AT34" s="48"/>
      <c r="AU34" s="82"/>
      <c r="AV34" s="48">
        <v>500</v>
      </c>
      <c r="AW34" s="82"/>
      <c r="AX34" s="48"/>
      <c r="AY34" s="82"/>
      <c r="AZ34" s="48"/>
      <c r="BA34" s="82"/>
      <c r="BB34" s="48"/>
      <c r="BC34" s="82"/>
      <c r="BD34" s="48"/>
      <c r="BE34" s="82"/>
      <c r="BF34" s="82"/>
      <c r="BG34" s="48"/>
      <c r="BH34" s="48"/>
      <c r="BI34" s="48"/>
      <c r="BJ34" s="48"/>
      <c r="BK34" s="48"/>
      <c r="BL34" s="48"/>
      <c r="BM34" s="48"/>
    </row>
    <row r="35" spans="1:65" ht="14.25" x14ac:dyDescent="0.2">
      <c r="A35" s="165" t="s">
        <v>21</v>
      </c>
      <c r="B35" s="48">
        <v>8000</v>
      </c>
      <c r="C35" s="48">
        <v>8000</v>
      </c>
      <c r="D35" s="48"/>
      <c r="E35" s="48">
        <v>8000</v>
      </c>
      <c r="F35" s="48">
        <v>0</v>
      </c>
      <c r="H35" s="48">
        <v>9000</v>
      </c>
      <c r="I35" s="48">
        <v>0</v>
      </c>
      <c r="J35" s="48">
        <v>19000</v>
      </c>
      <c r="K35" s="48">
        <v>0</v>
      </c>
      <c r="L35" s="50">
        <v>19000</v>
      </c>
      <c r="M35" s="50">
        <v>0</v>
      </c>
      <c r="N35" s="50">
        <v>30000</v>
      </c>
      <c r="O35" s="50">
        <v>13000</v>
      </c>
      <c r="P35" s="50">
        <v>12000</v>
      </c>
      <c r="Q35" s="50">
        <v>12500</v>
      </c>
      <c r="R35" s="50">
        <v>12500</v>
      </c>
      <c r="S35" s="50">
        <v>11250</v>
      </c>
      <c r="T35" s="50">
        <f t="shared" si="3"/>
        <v>12500</v>
      </c>
      <c r="U35" s="82"/>
      <c r="V35" s="82"/>
      <c r="W35" s="82"/>
      <c r="X35" s="82"/>
      <c r="Y35" s="82"/>
      <c r="Z35" s="82"/>
      <c r="AA35" s="48"/>
      <c r="AB35" s="82"/>
      <c r="AC35" s="48"/>
      <c r="AD35" s="82"/>
      <c r="AE35" s="82"/>
      <c r="AF35" s="82"/>
      <c r="AG35" s="48"/>
      <c r="AH35" s="82"/>
      <c r="AI35" s="48"/>
      <c r="AJ35" s="82"/>
      <c r="AK35" s="48"/>
      <c r="AL35" s="82"/>
      <c r="AM35" s="48"/>
      <c r="AN35" s="48"/>
      <c r="AO35" s="82"/>
      <c r="AP35" s="48"/>
      <c r="AQ35" s="82"/>
      <c r="AR35" s="48"/>
      <c r="AS35" s="82"/>
      <c r="AT35" s="48"/>
      <c r="AU35" s="82">
        <v>12500</v>
      </c>
      <c r="AV35" s="48"/>
      <c r="AW35" s="82"/>
      <c r="AX35" s="48"/>
      <c r="AY35" s="82"/>
      <c r="AZ35" s="48"/>
      <c r="BA35" s="82"/>
      <c r="BB35" s="48"/>
      <c r="BC35" s="82"/>
      <c r="BD35" s="48"/>
      <c r="BE35" s="82"/>
      <c r="BF35" s="82"/>
      <c r="BG35" s="48"/>
      <c r="BH35" s="48"/>
      <c r="BI35" s="48"/>
      <c r="BJ35" s="48"/>
      <c r="BK35" s="48"/>
      <c r="BL35" s="48"/>
      <c r="BM35" s="48"/>
    </row>
    <row r="36" spans="1:65" ht="14.25" x14ac:dyDescent="0.2">
      <c r="A36" s="165" t="s">
        <v>68</v>
      </c>
      <c r="B36" s="48">
        <v>31000</v>
      </c>
      <c r="C36" s="48">
        <v>8400</v>
      </c>
      <c r="D36" s="48"/>
      <c r="E36" s="48">
        <v>12000</v>
      </c>
      <c r="F36" s="48">
        <v>9000</v>
      </c>
      <c r="H36" s="48">
        <v>12000</v>
      </c>
      <c r="I36" s="48">
        <v>17500</v>
      </c>
      <c r="J36" s="48">
        <v>12000</v>
      </c>
      <c r="K36" s="48">
        <v>0</v>
      </c>
      <c r="L36" s="50">
        <f t="shared" si="9"/>
        <v>0</v>
      </c>
      <c r="M36" s="50">
        <v>0</v>
      </c>
      <c r="N36" s="50">
        <v>12000</v>
      </c>
      <c r="O36" s="50">
        <v>0</v>
      </c>
      <c r="P36" s="50">
        <v>0</v>
      </c>
      <c r="Q36" s="50"/>
      <c r="R36" s="50">
        <v>0</v>
      </c>
      <c r="S36" s="50">
        <v>0</v>
      </c>
      <c r="T36" s="50">
        <f t="shared" si="3"/>
        <v>0</v>
      </c>
      <c r="U36" s="82"/>
      <c r="V36" s="82"/>
      <c r="W36" s="82"/>
      <c r="X36" s="82"/>
      <c r="Y36" s="82"/>
      <c r="Z36" s="82"/>
      <c r="AA36" s="48"/>
      <c r="AB36" s="82"/>
      <c r="AC36" s="48"/>
      <c r="AD36" s="82"/>
      <c r="AE36" s="82"/>
      <c r="AF36" s="82"/>
      <c r="AG36" s="48"/>
      <c r="AH36" s="82"/>
      <c r="AI36" s="48"/>
      <c r="AJ36" s="82"/>
      <c r="AK36" s="48"/>
      <c r="AL36" s="82"/>
      <c r="AM36" s="48"/>
      <c r="AN36" s="48"/>
      <c r="AO36" s="82"/>
      <c r="AP36" s="48"/>
      <c r="AQ36" s="82"/>
      <c r="AR36" s="48"/>
      <c r="AS36" s="82"/>
      <c r="AT36" s="48"/>
      <c r="AU36" s="82"/>
      <c r="AV36" s="48"/>
      <c r="AW36" s="82"/>
      <c r="AX36" s="48"/>
      <c r="AY36" s="82"/>
      <c r="AZ36" s="48"/>
      <c r="BA36" s="82"/>
      <c r="BB36" s="48"/>
      <c r="BC36" s="82"/>
      <c r="BD36" s="48"/>
      <c r="BE36" s="82"/>
      <c r="BF36" s="82"/>
      <c r="BG36" s="48"/>
      <c r="BH36" s="48"/>
      <c r="BI36" s="48"/>
      <c r="BJ36" s="48"/>
      <c r="BK36" s="48"/>
      <c r="BL36" s="48"/>
      <c r="BM36" s="48"/>
    </row>
    <row r="37" spans="1:65" ht="14.25" x14ac:dyDescent="0.2">
      <c r="A37" s="165" t="s">
        <v>69</v>
      </c>
      <c r="B37" s="48">
        <v>76400</v>
      </c>
      <c r="C37" s="48">
        <v>32650</v>
      </c>
      <c r="D37" s="48"/>
      <c r="E37" s="48">
        <v>48700</v>
      </c>
      <c r="F37" s="48">
        <v>24300</v>
      </c>
      <c r="H37" s="48">
        <v>48700</v>
      </c>
      <c r="I37" s="48">
        <v>25860</v>
      </c>
      <c r="J37" s="48">
        <v>48700</v>
      </c>
      <c r="K37" s="48">
        <v>6500</v>
      </c>
      <c r="L37" s="50">
        <v>31700</v>
      </c>
      <c r="M37" s="50">
        <v>3150</v>
      </c>
      <c r="N37" s="50">
        <v>26700</v>
      </c>
      <c r="O37" s="50">
        <v>0</v>
      </c>
      <c r="P37" s="50">
        <v>9200</v>
      </c>
      <c r="Q37" s="50">
        <v>14000</v>
      </c>
      <c r="R37" s="50">
        <v>23200</v>
      </c>
      <c r="S37" s="50">
        <v>15533</v>
      </c>
      <c r="T37" s="50">
        <f t="shared" si="3"/>
        <v>5500</v>
      </c>
      <c r="U37" s="82"/>
      <c r="V37" s="82"/>
      <c r="W37" s="82"/>
      <c r="X37" s="82"/>
      <c r="Y37" s="82"/>
      <c r="Z37" s="82"/>
      <c r="AA37" s="48"/>
      <c r="AB37" s="82"/>
      <c r="AC37" s="48"/>
      <c r="AD37" s="82"/>
      <c r="AE37" s="82" t="s">
        <v>14</v>
      </c>
      <c r="AF37" s="82"/>
      <c r="AG37" s="48"/>
      <c r="AH37" s="82"/>
      <c r="AI37" s="48"/>
      <c r="AJ37" s="82"/>
      <c r="AK37" s="48"/>
      <c r="AL37" s="82"/>
      <c r="AM37" s="48"/>
      <c r="AN37" s="48"/>
      <c r="AO37" s="82"/>
      <c r="AP37" s="48">
        <v>3500</v>
      </c>
      <c r="AQ37" s="82"/>
      <c r="AR37" s="48"/>
      <c r="AS37" s="82"/>
      <c r="AT37" s="48"/>
      <c r="AU37" s="82"/>
      <c r="AV37" s="48"/>
      <c r="AW37" s="82"/>
      <c r="AX37" s="48"/>
      <c r="AY37" s="82" t="s">
        <v>14</v>
      </c>
      <c r="AZ37" s="48">
        <v>2000</v>
      </c>
      <c r="BA37" s="82">
        <v>0</v>
      </c>
      <c r="BB37" s="48"/>
      <c r="BC37" s="82"/>
      <c r="BD37" s="48" t="s">
        <v>14</v>
      </c>
      <c r="BE37" s="82" t="s">
        <v>14</v>
      </c>
      <c r="BG37" s="48"/>
      <c r="BH37" s="48"/>
      <c r="BI37" s="48"/>
      <c r="BJ37" s="48"/>
      <c r="BK37" s="48"/>
      <c r="BL37" s="48"/>
      <c r="BM37" s="48"/>
    </row>
    <row r="38" spans="1:65" ht="14.25" x14ac:dyDescent="0.2">
      <c r="A38" s="165" t="s">
        <v>70</v>
      </c>
      <c r="B38" s="48">
        <v>11000</v>
      </c>
      <c r="C38" s="48">
        <v>4455</v>
      </c>
      <c r="D38" s="48"/>
      <c r="E38" s="48">
        <v>1000</v>
      </c>
      <c r="F38" s="48">
        <v>0</v>
      </c>
      <c r="H38" s="48">
        <v>45600</v>
      </c>
      <c r="I38" s="48">
        <v>0</v>
      </c>
      <c r="J38" s="48">
        <v>45600</v>
      </c>
      <c r="K38" s="48">
        <v>16052</v>
      </c>
      <c r="L38" s="50">
        <v>49600</v>
      </c>
      <c r="M38" s="50">
        <v>0</v>
      </c>
      <c r="N38" s="50">
        <v>60600</v>
      </c>
      <c r="O38" s="50">
        <v>13814</v>
      </c>
      <c r="P38" s="50">
        <v>17800</v>
      </c>
      <c r="Q38" s="50">
        <v>8000</v>
      </c>
      <c r="R38" s="50">
        <v>5000</v>
      </c>
      <c r="S38" s="50">
        <v>500</v>
      </c>
      <c r="T38" s="50">
        <f t="shared" si="3"/>
        <v>6000</v>
      </c>
      <c r="U38" s="82"/>
      <c r="V38" s="82"/>
      <c r="W38" s="82"/>
      <c r="X38" s="82"/>
      <c r="Y38" s="82"/>
      <c r="Z38" s="82"/>
      <c r="AA38" s="48"/>
      <c r="AB38" s="82"/>
      <c r="AC38" s="48"/>
      <c r="AD38" s="82"/>
      <c r="AE38" s="82">
        <v>6000</v>
      </c>
      <c r="AF38" s="82"/>
      <c r="AG38" s="48"/>
      <c r="AH38" s="82"/>
      <c r="AI38" s="48"/>
      <c r="AJ38" s="82"/>
      <c r="AK38" s="48"/>
      <c r="AL38" s="82"/>
      <c r="AM38" s="48"/>
      <c r="AN38" s="48"/>
      <c r="AO38" s="82" t="s">
        <v>14</v>
      </c>
      <c r="AP38" s="48"/>
      <c r="AQ38" s="82"/>
      <c r="AR38" s="48"/>
      <c r="AS38" s="82"/>
      <c r="AT38" s="48"/>
      <c r="AU38" s="82"/>
      <c r="AV38" s="48"/>
      <c r="AW38" s="82"/>
      <c r="AX38" s="48"/>
      <c r="AY38" s="82"/>
      <c r="AZ38" s="48"/>
      <c r="BA38" s="82"/>
      <c r="BB38" s="48"/>
      <c r="BC38" s="82" t="s">
        <v>14</v>
      </c>
      <c r="BD38" s="48"/>
      <c r="BE38" s="82"/>
      <c r="BF38" s="82">
        <v>0</v>
      </c>
      <c r="BG38" s="48"/>
      <c r="BH38" s="48"/>
      <c r="BI38" s="48"/>
      <c r="BJ38" s="48"/>
      <c r="BK38" s="48"/>
      <c r="BL38" s="48"/>
      <c r="BM38" s="48"/>
    </row>
    <row r="39" spans="1:65" ht="14.25" x14ac:dyDescent="0.2">
      <c r="A39" s="165" t="s">
        <v>71</v>
      </c>
      <c r="B39" s="48">
        <v>11900</v>
      </c>
      <c r="C39" s="48">
        <v>4774</v>
      </c>
      <c r="D39" s="48"/>
      <c r="E39" s="48">
        <v>5000</v>
      </c>
      <c r="F39" s="48">
        <v>4944</v>
      </c>
      <c r="H39" s="48">
        <v>8000</v>
      </c>
      <c r="I39" s="48">
        <v>7785</v>
      </c>
      <c r="J39" s="48">
        <v>28000</v>
      </c>
      <c r="K39" s="48">
        <v>0</v>
      </c>
      <c r="L39" s="50">
        <f t="shared" si="9"/>
        <v>8000</v>
      </c>
      <c r="M39" s="50">
        <v>19091</v>
      </c>
      <c r="N39" s="50">
        <v>8000</v>
      </c>
      <c r="O39" s="50">
        <v>44052</v>
      </c>
      <c r="P39" s="50">
        <v>12000</v>
      </c>
      <c r="Q39" s="50">
        <v>18696</v>
      </c>
      <c r="R39" s="50">
        <v>25500</v>
      </c>
      <c r="S39" s="50">
        <v>9390</v>
      </c>
      <c r="T39" s="50">
        <f t="shared" si="3"/>
        <v>8000</v>
      </c>
      <c r="U39" s="82"/>
      <c r="V39" s="82"/>
      <c r="W39" s="82"/>
      <c r="X39" s="82"/>
      <c r="Y39" s="82"/>
      <c r="Z39" s="82"/>
      <c r="AA39" s="48"/>
      <c r="AB39" s="82"/>
      <c r="AC39" s="48"/>
      <c r="AD39" s="82"/>
      <c r="AE39" s="82"/>
      <c r="AF39" s="82"/>
      <c r="AG39" s="48" t="s">
        <v>14</v>
      </c>
      <c r="AH39" s="82"/>
      <c r="AI39" s="48">
        <v>2000</v>
      </c>
      <c r="AJ39" s="82">
        <v>0</v>
      </c>
      <c r="AK39" s="48"/>
      <c r="AL39" s="82"/>
      <c r="AM39" s="48"/>
      <c r="AN39" s="48"/>
      <c r="AO39" s="82"/>
      <c r="AP39" s="48">
        <v>2000</v>
      </c>
      <c r="AQ39" s="82"/>
      <c r="AR39" s="48"/>
      <c r="AS39" s="82"/>
      <c r="AT39" s="48"/>
      <c r="AU39" s="82"/>
      <c r="AV39" s="48"/>
      <c r="AW39" s="82"/>
      <c r="AX39" s="48">
        <v>3000</v>
      </c>
      <c r="AY39" s="82"/>
      <c r="AZ39" s="48">
        <v>1000</v>
      </c>
      <c r="BA39" s="82">
        <v>0</v>
      </c>
      <c r="BB39" s="48"/>
      <c r="BC39" s="82"/>
      <c r="BD39" s="48"/>
      <c r="BE39" s="82"/>
      <c r="BF39" s="82">
        <v>0</v>
      </c>
      <c r="BG39" s="48"/>
      <c r="BH39" s="48"/>
      <c r="BI39" s="48"/>
      <c r="BJ39" s="48"/>
      <c r="BK39" s="48"/>
      <c r="BL39" s="48"/>
      <c r="BM39" s="48"/>
    </row>
    <row r="40" spans="1:65" ht="14.25" x14ac:dyDescent="0.2">
      <c r="A40" s="165" t="s">
        <v>22</v>
      </c>
      <c r="B40" s="48">
        <v>39200</v>
      </c>
      <c r="C40" s="48">
        <v>24183.5</v>
      </c>
      <c r="D40" s="48"/>
      <c r="E40" s="48">
        <v>80100</v>
      </c>
      <c r="F40" s="48">
        <v>64939</v>
      </c>
      <c r="H40" s="48">
        <v>65800</v>
      </c>
      <c r="I40" s="48">
        <v>19375</v>
      </c>
      <c r="J40" s="48">
        <v>64300</v>
      </c>
      <c r="K40" s="48">
        <v>700</v>
      </c>
      <c r="L40" s="50">
        <v>58300</v>
      </c>
      <c r="M40" s="50">
        <v>16831</v>
      </c>
      <c r="N40" s="50">
        <v>17300</v>
      </c>
      <c r="O40" s="50">
        <v>-1000</v>
      </c>
      <c r="P40" s="50">
        <v>36300</v>
      </c>
      <c r="Q40" s="50"/>
      <c r="R40" s="50">
        <v>9500</v>
      </c>
      <c r="S40" s="50">
        <v>0</v>
      </c>
      <c r="T40" s="50">
        <f t="shared" si="3"/>
        <v>4280</v>
      </c>
      <c r="U40" s="82">
        <v>1000</v>
      </c>
      <c r="V40" s="82" t="s">
        <v>14</v>
      </c>
      <c r="W40" s="82"/>
      <c r="X40" s="82">
        <v>0</v>
      </c>
      <c r="Y40" s="82"/>
      <c r="Z40" s="82"/>
      <c r="AA40" s="48"/>
      <c r="AB40" s="82"/>
      <c r="AC40" s="48"/>
      <c r="AD40" s="82"/>
      <c r="AE40" s="82"/>
      <c r="AF40" s="82"/>
      <c r="AG40" s="48" t="s">
        <v>14</v>
      </c>
      <c r="AH40" s="82"/>
      <c r="AI40" s="48"/>
      <c r="AJ40" s="82"/>
      <c r="AK40" s="48" t="s">
        <v>14</v>
      </c>
      <c r="AL40" s="82">
        <v>0</v>
      </c>
      <c r="AM40" s="48" t="s">
        <v>14</v>
      </c>
      <c r="AN40" s="48"/>
      <c r="AO40" s="82"/>
      <c r="AP40" s="48"/>
      <c r="AQ40" s="82">
        <v>0</v>
      </c>
      <c r="AR40" s="48"/>
      <c r="AS40" s="82"/>
      <c r="AT40" s="48"/>
      <c r="AU40" s="82"/>
      <c r="AV40" s="48"/>
      <c r="AW40" s="82">
        <v>2500</v>
      </c>
      <c r="AX40" s="48"/>
      <c r="AY40" s="82">
        <v>780</v>
      </c>
      <c r="AZ40" s="48"/>
      <c r="BA40" s="82">
        <v>0</v>
      </c>
      <c r="BB40" s="48"/>
      <c r="BC40" s="82" t="s">
        <v>14</v>
      </c>
      <c r="BD40" s="48"/>
      <c r="BE40" s="82"/>
      <c r="BF40" s="82"/>
      <c r="BG40" s="48"/>
      <c r="BH40" s="48"/>
      <c r="BI40" s="48"/>
      <c r="BJ40" s="48"/>
      <c r="BK40" s="48"/>
      <c r="BL40" s="48"/>
      <c r="BM40" s="48"/>
    </row>
    <row r="41" spans="1:65" ht="14.25" x14ac:dyDescent="0.2">
      <c r="A41" s="165" t="s">
        <v>76</v>
      </c>
      <c r="B41" s="48">
        <v>37900</v>
      </c>
      <c r="C41" s="48">
        <v>34250</v>
      </c>
      <c r="D41" s="48"/>
      <c r="E41" s="48">
        <v>40100</v>
      </c>
      <c r="F41" s="48">
        <v>21600</v>
      </c>
      <c r="H41" s="48">
        <v>41100</v>
      </c>
      <c r="I41" s="48">
        <v>32638</v>
      </c>
      <c r="J41" s="48">
        <v>31100</v>
      </c>
      <c r="K41" s="48">
        <v>6000</v>
      </c>
      <c r="L41" s="50">
        <v>19100</v>
      </c>
      <c r="M41" s="50">
        <v>0</v>
      </c>
      <c r="N41" s="50">
        <v>18600</v>
      </c>
      <c r="O41" s="50">
        <v>0</v>
      </c>
      <c r="P41" s="50">
        <v>16000</v>
      </c>
      <c r="Q41" s="50"/>
      <c r="R41" s="50">
        <v>16000</v>
      </c>
      <c r="S41" s="50">
        <v>0</v>
      </c>
      <c r="T41" s="50">
        <f t="shared" si="3"/>
        <v>1000</v>
      </c>
      <c r="U41" s="82" t="s">
        <v>14</v>
      </c>
      <c r="V41" s="82"/>
      <c r="W41" s="82"/>
      <c r="X41" s="82"/>
      <c r="Y41" s="82"/>
      <c r="Z41" s="82"/>
      <c r="AA41" s="48"/>
      <c r="AB41" s="82"/>
      <c r="AC41" s="48"/>
      <c r="AD41" s="82"/>
      <c r="AE41" s="82"/>
      <c r="AF41" s="82"/>
      <c r="AG41" s="48"/>
      <c r="AH41" s="82"/>
      <c r="AI41" s="48"/>
      <c r="AJ41" s="82"/>
      <c r="AK41" s="48"/>
      <c r="AL41" s="82"/>
      <c r="AM41" s="48"/>
      <c r="AN41" s="48"/>
      <c r="AO41" s="82"/>
      <c r="AP41" s="48"/>
      <c r="AQ41" s="82"/>
      <c r="AR41" s="48"/>
      <c r="AS41" s="82"/>
      <c r="AT41" s="48"/>
      <c r="AU41" s="82"/>
      <c r="AV41" s="48"/>
      <c r="AW41" s="82"/>
      <c r="AX41" s="48"/>
      <c r="AY41" s="82"/>
      <c r="AZ41" s="48">
        <v>1000</v>
      </c>
      <c r="BA41" s="82">
        <v>0</v>
      </c>
      <c r="BB41" s="48"/>
      <c r="BC41" s="82" t="s">
        <v>14</v>
      </c>
      <c r="BD41" s="48"/>
      <c r="BE41" s="82"/>
      <c r="BF41" s="82"/>
      <c r="BG41" s="48"/>
      <c r="BH41" s="48"/>
      <c r="BI41" s="48"/>
      <c r="BJ41" s="48"/>
      <c r="BK41" s="48"/>
      <c r="BL41" s="48"/>
      <c r="BM41" s="48"/>
    </row>
    <row r="42" spans="1:65" ht="14.25" x14ac:dyDescent="0.2">
      <c r="A42" s="165" t="s">
        <v>77</v>
      </c>
      <c r="B42" s="48">
        <v>2500</v>
      </c>
      <c r="C42" s="48">
        <v>2566</v>
      </c>
      <c r="D42" s="48"/>
      <c r="E42" s="48">
        <v>0</v>
      </c>
      <c r="F42" s="48">
        <v>0</v>
      </c>
      <c r="H42" s="48">
        <v>0</v>
      </c>
      <c r="I42" s="48">
        <v>0</v>
      </c>
      <c r="J42" s="48">
        <v>0</v>
      </c>
      <c r="K42" s="48">
        <v>0</v>
      </c>
      <c r="L42" s="50">
        <f t="shared" si="9"/>
        <v>0</v>
      </c>
      <c r="M42" s="50">
        <v>0</v>
      </c>
      <c r="N42" s="50">
        <v>0</v>
      </c>
      <c r="O42" s="50">
        <v>0</v>
      </c>
      <c r="P42" s="50">
        <v>0</v>
      </c>
      <c r="Q42" s="50"/>
      <c r="R42" s="50">
        <v>0</v>
      </c>
      <c r="S42" s="50">
        <v>0</v>
      </c>
      <c r="T42" s="50">
        <f t="shared" si="3"/>
        <v>0</v>
      </c>
      <c r="U42" s="82"/>
      <c r="V42" s="82"/>
      <c r="W42" s="82"/>
      <c r="X42" s="82"/>
      <c r="Y42" s="82"/>
      <c r="Z42" s="82"/>
      <c r="AA42" s="48"/>
      <c r="AB42" s="82"/>
      <c r="AC42" s="48"/>
      <c r="AD42" s="82"/>
      <c r="AE42" s="82"/>
      <c r="AF42" s="82"/>
      <c r="AG42" s="48"/>
      <c r="AH42" s="82"/>
      <c r="AI42" s="48"/>
      <c r="AJ42" s="82"/>
      <c r="AK42" s="48"/>
      <c r="AL42" s="82"/>
      <c r="AM42" s="48"/>
      <c r="AN42" s="48"/>
      <c r="AO42" s="82"/>
      <c r="AP42" s="48"/>
      <c r="AQ42" s="82"/>
      <c r="AR42" s="48"/>
      <c r="AS42" s="82"/>
      <c r="AT42" s="48"/>
      <c r="AU42" s="82"/>
      <c r="AV42" s="48"/>
      <c r="AW42" s="82"/>
      <c r="AX42" s="48"/>
      <c r="AY42" s="82"/>
      <c r="AZ42" s="48"/>
      <c r="BA42" s="82"/>
      <c r="BB42" s="48"/>
      <c r="BC42" s="82"/>
      <c r="BD42" s="48"/>
      <c r="BE42" s="82"/>
      <c r="BF42" s="82"/>
      <c r="BG42" s="48"/>
      <c r="BH42" s="48"/>
      <c r="BI42" s="48"/>
      <c r="BJ42" s="48"/>
      <c r="BK42" s="48"/>
      <c r="BL42" s="48"/>
      <c r="BM42" s="48"/>
    </row>
    <row r="43" spans="1:65" ht="14.25" x14ac:dyDescent="0.2">
      <c r="A43" s="165" t="s">
        <v>203</v>
      </c>
      <c r="B43" s="48">
        <v>0</v>
      </c>
      <c r="C43" s="48">
        <v>0</v>
      </c>
      <c r="D43" s="48"/>
      <c r="E43" s="48">
        <v>0</v>
      </c>
      <c r="F43" s="48">
        <v>0</v>
      </c>
      <c r="H43" s="48">
        <v>0</v>
      </c>
      <c r="I43" s="48">
        <v>0</v>
      </c>
      <c r="J43" s="48">
        <v>0</v>
      </c>
      <c r="K43" s="48">
        <v>0</v>
      </c>
      <c r="L43" s="50">
        <v>0</v>
      </c>
      <c r="M43" s="50">
        <v>10380</v>
      </c>
      <c r="N43" s="50">
        <v>4000</v>
      </c>
      <c r="O43" s="50">
        <v>0</v>
      </c>
      <c r="P43" s="50">
        <v>4000</v>
      </c>
      <c r="Q43" s="50"/>
      <c r="R43" s="50">
        <v>4000</v>
      </c>
      <c r="S43" s="50">
        <v>0</v>
      </c>
      <c r="T43" s="50">
        <f t="shared" si="3"/>
        <v>0</v>
      </c>
      <c r="U43" s="82"/>
      <c r="V43" s="82"/>
      <c r="W43" s="82"/>
      <c r="X43" s="82"/>
      <c r="Y43" s="82"/>
      <c r="Z43" s="82"/>
      <c r="AA43" s="48"/>
      <c r="AB43" s="82"/>
      <c r="AC43" s="48"/>
      <c r="AD43" s="82"/>
      <c r="AE43" s="82"/>
      <c r="AF43" s="82"/>
      <c r="AG43" s="48"/>
      <c r="AH43" s="82"/>
      <c r="AI43" s="48"/>
      <c r="AJ43" s="82"/>
      <c r="AK43" s="48"/>
      <c r="AL43" s="82"/>
      <c r="AM43" s="48"/>
      <c r="AN43" s="48"/>
      <c r="AO43" s="82"/>
      <c r="AP43" s="48"/>
      <c r="AQ43" s="82"/>
      <c r="AR43" s="48"/>
      <c r="AS43" s="82"/>
      <c r="AT43" s="48"/>
      <c r="AU43" s="82"/>
      <c r="AV43" s="48"/>
      <c r="AW43" s="82"/>
      <c r="AX43" s="48"/>
      <c r="AY43" s="82"/>
      <c r="AZ43" s="48"/>
      <c r="BA43" s="82"/>
      <c r="BB43" s="48"/>
      <c r="BC43" s="82"/>
      <c r="BD43" s="48"/>
      <c r="BE43" s="82"/>
      <c r="BF43" s="82"/>
      <c r="BG43" s="48"/>
      <c r="BH43" s="48"/>
      <c r="BI43" s="48"/>
      <c r="BJ43" s="48"/>
      <c r="BK43" s="48"/>
      <c r="BL43" s="48"/>
      <c r="BM43" s="48"/>
    </row>
    <row r="44" spans="1:65" ht="14.25" x14ac:dyDescent="0.2">
      <c r="A44" s="165" t="s">
        <v>78</v>
      </c>
      <c r="B44" s="48">
        <v>10500</v>
      </c>
      <c r="C44" s="48">
        <v>11893</v>
      </c>
      <c r="D44" s="48"/>
      <c r="E44" s="48">
        <v>5000</v>
      </c>
      <c r="F44" s="48">
        <v>5453</v>
      </c>
      <c r="H44" s="48">
        <v>3000</v>
      </c>
      <c r="I44" s="48">
        <v>8008</v>
      </c>
      <c r="J44" s="48">
        <v>3000</v>
      </c>
      <c r="K44" s="48">
        <v>6428</v>
      </c>
      <c r="L44" s="50">
        <v>6500</v>
      </c>
      <c r="M44" s="50">
        <v>1283</v>
      </c>
      <c r="N44" s="50">
        <v>2000</v>
      </c>
      <c r="O44" s="50">
        <v>13081</v>
      </c>
      <c r="P44" s="50">
        <v>4700</v>
      </c>
      <c r="Q44" s="50">
        <v>11926</v>
      </c>
      <c r="R44" s="50">
        <v>8775</v>
      </c>
      <c r="S44" s="50">
        <v>19494</v>
      </c>
      <c r="T44" s="50">
        <f t="shared" si="3"/>
        <v>18810</v>
      </c>
      <c r="U44" s="82">
        <v>5000</v>
      </c>
      <c r="V44" s="82"/>
      <c r="W44" s="82"/>
      <c r="X44" s="82"/>
      <c r="Y44" s="82"/>
      <c r="Z44" s="82"/>
      <c r="AA44" s="48"/>
      <c r="AB44" s="82"/>
      <c r="AC44" s="48"/>
      <c r="AD44" s="82"/>
      <c r="AE44" s="82"/>
      <c r="AF44" s="82"/>
      <c r="AG44" s="48"/>
      <c r="AH44" s="82"/>
      <c r="AI44" s="48"/>
      <c r="AJ44" s="82"/>
      <c r="AK44" s="48"/>
      <c r="AL44" s="82">
        <v>0</v>
      </c>
      <c r="AM44" s="48">
        <v>3000</v>
      </c>
      <c r="AN44" s="48"/>
      <c r="AO44" s="82"/>
      <c r="AP44" s="48">
        <v>910</v>
      </c>
      <c r="AQ44" s="82"/>
      <c r="AR44" s="48"/>
      <c r="AS44" s="82">
        <v>5500</v>
      </c>
      <c r="AT44" s="48">
        <v>4400</v>
      </c>
      <c r="AU44" s="82"/>
      <c r="AV44" s="48"/>
      <c r="AW44" s="82"/>
      <c r="AX44" s="48"/>
      <c r="AY44" s="82"/>
      <c r="AZ44" s="48"/>
      <c r="BA44" s="82"/>
      <c r="BB44" s="48"/>
      <c r="BC44" s="82"/>
      <c r="BD44" s="48"/>
      <c r="BE44" s="82"/>
      <c r="BF44" s="82"/>
      <c r="BG44" s="48"/>
      <c r="BH44" s="48"/>
      <c r="BI44" s="48"/>
      <c r="BJ44" s="48"/>
      <c r="BK44" s="48"/>
      <c r="BL44" s="48"/>
      <c r="BM44" s="48"/>
    </row>
    <row r="45" spans="1:65" ht="14.25" x14ac:dyDescent="0.2">
      <c r="A45" s="165" t="s">
        <v>198</v>
      </c>
      <c r="B45" s="48">
        <v>0</v>
      </c>
      <c r="C45" s="48">
        <v>0</v>
      </c>
      <c r="D45" s="48"/>
      <c r="E45" s="48">
        <v>0</v>
      </c>
      <c r="F45" s="48">
        <v>0</v>
      </c>
      <c r="H45" s="48">
        <v>0</v>
      </c>
      <c r="I45" s="48">
        <v>0</v>
      </c>
      <c r="J45" s="48">
        <v>0</v>
      </c>
      <c r="K45" s="48">
        <v>4374</v>
      </c>
      <c r="L45" s="50">
        <v>0</v>
      </c>
      <c r="M45" s="50">
        <v>0</v>
      </c>
      <c r="N45" s="50">
        <v>0</v>
      </c>
      <c r="O45" s="50">
        <v>1125</v>
      </c>
      <c r="P45" s="50">
        <v>7500</v>
      </c>
      <c r="Q45" s="50"/>
      <c r="R45" s="50">
        <v>0</v>
      </c>
      <c r="S45" s="50">
        <v>0</v>
      </c>
      <c r="T45" s="50">
        <f t="shared" si="3"/>
        <v>0</v>
      </c>
      <c r="U45" s="82"/>
      <c r="V45" s="82"/>
      <c r="W45" s="82"/>
      <c r="X45" s="82"/>
      <c r="Y45" s="82"/>
      <c r="Z45" s="82"/>
      <c r="AA45" s="48"/>
      <c r="AB45" s="82"/>
      <c r="AC45" s="48"/>
      <c r="AD45" s="82"/>
      <c r="AE45" s="82"/>
      <c r="AF45" s="82"/>
      <c r="AG45" s="48"/>
      <c r="AH45" s="82"/>
      <c r="AI45" s="48"/>
      <c r="AJ45" s="82"/>
      <c r="AK45" s="48"/>
      <c r="AL45" s="82"/>
      <c r="AM45" s="48"/>
      <c r="AN45" s="48"/>
      <c r="AO45" s="82"/>
      <c r="AP45" s="48"/>
      <c r="AQ45" s="82"/>
      <c r="AR45" s="48"/>
      <c r="AS45" s="82"/>
      <c r="AT45" s="48"/>
      <c r="AU45" s="82"/>
      <c r="AV45" s="48"/>
      <c r="AW45" s="82"/>
      <c r="AX45" s="48"/>
      <c r="AY45" s="82"/>
      <c r="AZ45" s="48"/>
      <c r="BA45" s="82"/>
      <c r="BB45" s="48"/>
      <c r="BC45" s="82"/>
      <c r="BD45" s="48"/>
      <c r="BE45" s="82"/>
      <c r="BF45" s="82"/>
      <c r="BG45" s="48"/>
      <c r="BH45" s="48"/>
      <c r="BI45" s="48"/>
      <c r="BJ45" s="48"/>
      <c r="BK45" s="48"/>
      <c r="BL45" s="48"/>
      <c r="BM45" s="48"/>
    </row>
    <row r="46" spans="1:65" ht="14.25" x14ac:dyDescent="0.2">
      <c r="A46" s="165" t="s">
        <v>213</v>
      </c>
      <c r="B46" s="48">
        <v>3000</v>
      </c>
      <c r="C46" s="48">
        <v>734</v>
      </c>
      <c r="D46" s="48"/>
      <c r="E46" s="48">
        <v>500</v>
      </c>
      <c r="F46" s="48">
        <v>12455</v>
      </c>
      <c r="H46" s="48">
        <v>3000</v>
      </c>
      <c r="I46" s="48">
        <v>483</v>
      </c>
      <c r="J46" s="48">
        <v>6000</v>
      </c>
      <c r="K46" s="48">
        <v>1330</v>
      </c>
      <c r="L46" s="50">
        <v>2000</v>
      </c>
      <c r="M46" s="50">
        <v>10539</v>
      </c>
      <c r="N46" s="50">
        <v>17000</v>
      </c>
      <c r="O46" s="50">
        <v>12542</v>
      </c>
      <c r="P46" s="50">
        <v>32200</v>
      </c>
      <c r="Q46" s="50">
        <v>19930</v>
      </c>
      <c r="R46" s="50">
        <v>6000</v>
      </c>
      <c r="S46" s="50">
        <v>30326</v>
      </c>
      <c r="T46" s="50">
        <f t="shared" si="3"/>
        <v>73000</v>
      </c>
      <c r="U46" s="82">
        <v>10000</v>
      </c>
      <c r="V46" s="82"/>
      <c r="W46" s="82">
        <v>5000</v>
      </c>
      <c r="X46" s="82"/>
      <c r="Y46" s="82"/>
      <c r="Z46" s="82"/>
      <c r="AA46" s="48"/>
      <c r="AB46" s="82"/>
      <c r="AC46" s="48"/>
      <c r="AD46" s="82"/>
      <c r="AE46" s="82"/>
      <c r="AF46" s="82"/>
      <c r="AG46" s="48"/>
      <c r="AH46" s="82"/>
      <c r="AI46" s="48"/>
      <c r="AJ46" s="82">
        <v>58000</v>
      </c>
      <c r="AK46" s="48"/>
      <c r="AL46" s="82"/>
      <c r="AM46" s="48"/>
      <c r="AN46" s="48">
        <v>0</v>
      </c>
      <c r="AO46" s="82"/>
      <c r="AP46" s="48">
        <v>0</v>
      </c>
      <c r="AQ46" s="82"/>
      <c r="AR46" s="48"/>
      <c r="AS46" s="82"/>
      <c r="AT46" s="48"/>
      <c r="AU46" s="82"/>
      <c r="AV46" s="48"/>
      <c r="AW46" s="82"/>
      <c r="AX46" s="48"/>
      <c r="AY46" s="82"/>
      <c r="AZ46" s="48"/>
      <c r="BA46" s="82"/>
      <c r="BB46" s="48"/>
      <c r="BC46" s="82"/>
      <c r="BD46" s="48"/>
      <c r="BE46" s="82"/>
      <c r="BF46" s="82"/>
      <c r="BG46" s="48"/>
      <c r="BH46" s="48"/>
      <c r="BI46" s="48"/>
      <c r="BJ46" s="48"/>
      <c r="BK46" s="48"/>
      <c r="BL46" s="48"/>
      <c r="BM46" s="48"/>
    </row>
    <row r="47" spans="1:65" ht="14.25" x14ac:dyDescent="0.2">
      <c r="A47" s="165" t="s">
        <v>72</v>
      </c>
      <c r="B47" s="48">
        <v>0</v>
      </c>
      <c r="C47" s="48">
        <v>0</v>
      </c>
      <c r="D47" s="48"/>
      <c r="E47" s="48">
        <v>0</v>
      </c>
      <c r="F47" s="48">
        <v>0</v>
      </c>
      <c r="G47" s="7"/>
      <c r="H47" s="48">
        <v>16000</v>
      </c>
      <c r="I47" s="48">
        <v>0</v>
      </c>
      <c r="J47" s="48">
        <v>16000</v>
      </c>
      <c r="K47" s="48">
        <v>23250</v>
      </c>
      <c r="L47" s="50">
        <f t="shared" ref="L47:L61" si="10">SUM(U47:BF47)</f>
        <v>0</v>
      </c>
      <c r="M47" s="50">
        <v>5600</v>
      </c>
      <c r="N47" s="50">
        <v>16000</v>
      </c>
      <c r="O47" s="50">
        <v>25898.75</v>
      </c>
      <c r="P47" s="50">
        <v>16000</v>
      </c>
      <c r="Q47" s="50">
        <v>2863</v>
      </c>
      <c r="R47" s="50">
        <v>0</v>
      </c>
      <c r="S47" s="50">
        <v>0</v>
      </c>
      <c r="T47" s="50">
        <f t="shared" si="3"/>
        <v>0</v>
      </c>
      <c r="U47" s="82"/>
      <c r="V47" s="82"/>
      <c r="W47" s="82"/>
      <c r="X47" s="82"/>
      <c r="Y47" s="82"/>
      <c r="Z47" s="82"/>
      <c r="AA47" s="48"/>
      <c r="AB47" s="82"/>
      <c r="AC47" s="48"/>
      <c r="AD47" s="82"/>
      <c r="AE47" s="82"/>
      <c r="AF47" s="82"/>
      <c r="AG47" s="48"/>
      <c r="AH47" s="82"/>
      <c r="AI47" s="48"/>
      <c r="AJ47" s="82"/>
      <c r="AK47" s="48"/>
      <c r="AL47" s="82"/>
      <c r="AM47" s="48"/>
      <c r="AN47" s="48"/>
      <c r="AO47" s="82"/>
      <c r="AP47" s="48"/>
      <c r="AQ47" s="82"/>
      <c r="AR47" s="48"/>
      <c r="AS47" s="82"/>
      <c r="AT47" s="48"/>
      <c r="AU47" s="82"/>
      <c r="AV47" s="48"/>
      <c r="AW47" s="82"/>
      <c r="AX47" s="48"/>
      <c r="AY47" s="82"/>
      <c r="AZ47" s="48"/>
      <c r="BA47" s="82"/>
      <c r="BB47" s="48"/>
      <c r="BC47" s="82"/>
      <c r="BD47" s="48"/>
      <c r="BE47" s="82"/>
      <c r="BF47" s="82">
        <v>0</v>
      </c>
      <c r="BG47" s="48"/>
      <c r="BH47" s="48"/>
      <c r="BI47" s="48"/>
      <c r="BJ47" s="48"/>
      <c r="BK47" s="48"/>
      <c r="BL47" s="48"/>
      <c r="BM47" s="48"/>
    </row>
    <row r="48" spans="1:65" ht="14.25" x14ac:dyDescent="0.2">
      <c r="A48" s="165" t="s">
        <v>73</v>
      </c>
      <c r="B48" s="48">
        <v>45240</v>
      </c>
      <c r="C48" s="48">
        <v>69224.100000000006</v>
      </c>
      <c r="D48" s="48"/>
      <c r="E48" s="48">
        <v>39100</v>
      </c>
      <c r="F48" s="48">
        <v>34658</v>
      </c>
      <c r="H48" s="48">
        <v>55000</v>
      </c>
      <c r="I48" s="48">
        <v>24375</v>
      </c>
      <c r="J48" s="48">
        <v>55000</v>
      </c>
      <c r="K48" s="48">
        <f>284+4213</f>
        <v>4497</v>
      </c>
      <c r="L48" s="50">
        <v>46100</v>
      </c>
      <c r="M48" s="50">
        <v>21706</v>
      </c>
      <c r="N48" s="50">
        <v>48100</v>
      </c>
      <c r="O48" s="50">
        <v>53110</v>
      </c>
      <c r="P48" s="50">
        <v>67000</v>
      </c>
      <c r="Q48" s="50">
        <v>41910</v>
      </c>
      <c r="R48" s="50">
        <v>47600</v>
      </c>
      <c r="S48" s="50">
        <v>21324</v>
      </c>
      <c r="T48" s="50">
        <f t="shared" si="3"/>
        <v>36320</v>
      </c>
      <c r="U48" s="82"/>
      <c r="V48" s="82">
        <v>1500</v>
      </c>
      <c r="W48" s="82">
        <v>8000</v>
      </c>
      <c r="X48" s="82"/>
      <c r="Y48" s="82"/>
      <c r="Z48" s="82">
        <v>3000</v>
      </c>
      <c r="AA48" s="48"/>
      <c r="AB48" s="82">
        <v>100</v>
      </c>
      <c r="AC48" s="48" t="s">
        <v>14</v>
      </c>
      <c r="AD48" s="82" t="s">
        <v>14</v>
      </c>
      <c r="AE48" s="82"/>
      <c r="AF48" s="82"/>
      <c r="AG48" s="48"/>
      <c r="AH48" s="82"/>
      <c r="AI48" s="48">
        <v>0</v>
      </c>
      <c r="AJ48" s="82">
        <v>9200</v>
      </c>
      <c r="AK48" s="48">
        <v>2000</v>
      </c>
      <c r="AL48" s="82">
        <v>0</v>
      </c>
      <c r="AM48" s="48"/>
      <c r="AN48" s="48">
        <v>0</v>
      </c>
      <c r="AO48" s="82" t="s">
        <v>14</v>
      </c>
      <c r="AP48" s="48">
        <v>6000</v>
      </c>
      <c r="AQ48" s="82"/>
      <c r="AR48" s="48"/>
      <c r="AS48" s="82"/>
      <c r="AT48" s="48"/>
      <c r="AU48" s="82"/>
      <c r="AV48" s="48"/>
      <c r="AW48" s="82"/>
      <c r="AX48" s="48">
        <v>1520</v>
      </c>
      <c r="AY48" s="82">
        <v>2000</v>
      </c>
      <c r="AZ48" s="48">
        <v>3000</v>
      </c>
      <c r="BA48" s="82">
        <v>0</v>
      </c>
      <c r="BB48" s="48"/>
      <c r="BC48" s="82" t="s">
        <v>14</v>
      </c>
      <c r="BD48" s="48"/>
      <c r="BE48" s="82"/>
      <c r="BF48" s="82"/>
      <c r="BG48" s="48"/>
      <c r="BH48" s="48"/>
      <c r="BI48" s="48"/>
      <c r="BJ48" s="48"/>
      <c r="BK48" s="48"/>
      <c r="BL48" s="48"/>
      <c r="BM48" s="48"/>
    </row>
    <row r="49" spans="1:65" ht="14.25" x14ac:dyDescent="0.2">
      <c r="A49" s="165" t="s">
        <v>79</v>
      </c>
      <c r="B49" s="48">
        <v>4000</v>
      </c>
      <c r="C49" s="48">
        <v>8154.6</v>
      </c>
      <c r="D49" s="48"/>
      <c r="E49" s="48">
        <v>5000</v>
      </c>
      <c r="F49" s="48">
        <v>12700</v>
      </c>
      <c r="H49" s="48">
        <v>5000</v>
      </c>
      <c r="I49" s="48">
        <v>369</v>
      </c>
      <c r="J49" s="48">
        <v>5000</v>
      </c>
      <c r="K49" s="48">
        <v>169</v>
      </c>
      <c r="L49" s="50">
        <v>1500</v>
      </c>
      <c r="M49" s="50">
        <v>0</v>
      </c>
      <c r="N49" s="50">
        <v>1000</v>
      </c>
      <c r="O49" s="50">
        <v>498</v>
      </c>
      <c r="P49" s="50">
        <v>1000</v>
      </c>
      <c r="Q49" s="50">
        <v>849</v>
      </c>
      <c r="R49" s="50">
        <v>1000</v>
      </c>
      <c r="S49" s="50">
        <v>0</v>
      </c>
      <c r="T49" s="50">
        <f t="shared" si="3"/>
        <v>0</v>
      </c>
      <c r="U49" s="82"/>
      <c r="V49" s="82"/>
      <c r="W49" s="82"/>
      <c r="X49" s="82"/>
      <c r="Y49" s="82"/>
      <c r="Z49" s="82"/>
      <c r="AA49" s="48"/>
      <c r="AB49" s="82"/>
      <c r="AC49" s="48"/>
      <c r="AD49" s="82"/>
      <c r="AE49" s="82"/>
      <c r="AF49" s="82"/>
      <c r="AG49" s="48"/>
      <c r="AH49" s="82"/>
      <c r="AI49" s="48"/>
      <c r="AJ49" s="82"/>
      <c r="AK49" s="48"/>
      <c r="AL49" s="82"/>
      <c r="AM49" s="48"/>
      <c r="AN49" s="48"/>
      <c r="AO49" s="82"/>
      <c r="AP49" s="48"/>
      <c r="AQ49" s="82"/>
      <c r="AR49" s="48"/>
      <c r="AS49" s="82"/>
      <c r="AT49" s="48"/>
      <c r="AU49" s="82"/>
      <c r="AV49" s="48"/>
      <c r="AW49" s="82"/>
      <c r="AX49" s="48"/>
      <c r="AY49" s="82"/>
      <c r="AZ49" s="48"/>
      <c r="BA49" s="82"/>
      <c r="BB49" s="48"/>
      <c r="BC49" s="82"/>
      <c r="BD49" s="48"/>
      <c r="BE49" s="82"/>
      <c r="BF49" s="82"/>
      <c r="BG49" s="48"/>
      <c r="BH49" s="48"/>
      <c r="BI49" s="48"/>
      <c r="BJ49" s="48"/>
      <c r="BK49" s="48"/>
      <c r="BL49" s="48"/>
      <c r="BM49" s="48"/>
    </row>
    <row r="50" spans="1:65" ht="14.25" x14ac:dyDescent="0.2">
      <c r="A50" s="165" t="s">
        <v>173</v>
      </c>
      <c r="B50" s="48"/>
      <c r="C50" s="48">
        <v>140125</v>
      </c>
      <c r="D50" s="48"/>
      <c r="E50" s="48">
        <v>0</v>
      </c>
      <c r="F50" s="48">
        <v>0</v>
      </c>
      <c r="H50" s="48"/>
      <c r="I50" s="48"/>
      <c r="J50" s="48">
        <v>0</v>
      </c>
      <c r="K50" s="48">
        <v>0</v>
      </c>
      <c r="L50" s="50">
        <f t="shared" si="10"/>
        <v>0</v>
      </c>
      <c r="M50" s="50">
        <f t="shared" ref="M50:M69" si="11">SUM(V50:BG50)</f>
        <v>0</v>
      </c>
      <c r="N50" s="50">
        <v>0</v>
      </c>
      <c r="O50" s="50">
        <v>2184</v>
      </c>
      <c r="P50" s="50">
        <v>0</v>
      </c>
      <c r="Q50" s="50">
        <v>1563</v>
      </c>
      <c r="R50" s="50">
        <v>0</v>
      </c>
      <c r="S50" s="50">
        <v>2438</v>
      </c>
      <c r="T50" s="50">
        <f t="shared" si="3"/>
        <v>0</v>
      </c>
      <c r="U50" s="82"/>
      <c r="V50" s="82"/>
      <c r="W50" s="82"/>
      <c r="X50" s="82"/>
      <c r="Y50" s="82"/>
      <c r="Z50" s="82"/>
      <c r="AA50" s="48"/>
      <c r="AB50" s="82"/>
      <c r="AC50" s="48"/>
      <c r="AD50" s="82"/>
      <c r="AE50" s="82"/>
      <c r="AF50" s="82"/>
      <c r="AG50" s="48"/>
      <c r="AH50" s="82"/>
      <c r="AI50" s="48"/>
      <c r="AJ50" s="82"/>
      <c r="AK50" s="48"/>
      <c r="AL50" s="82"/>
      <c r="AM50" s="48"/>
      <c r="AN50" s="48"/>
      <c r="AO50" s="82"/>
      <c r="AP50" s="48"/>
      <c r="AQ50" s="82"/>
      <c r="AR50" s="48"/>
      <c r="AS50" s="82"/>
      <c r="AT50" s="48"/>
      <c r="AU50" s="82"/>
      <c r="AV50" s="48"/>
      <c r="AW50" s="82"/>
      <c r="AX50" s="48"/>
      <c r="AY50" s="82"/>
      <c r="AZ50" s="48"/>
      <c r="BA50" s="82"/>
      <c r="BB50" s="48"/>
      <c r="BC50" s="82"/>
      <c r="BD50" s="48"/>
      <c r="BE50" s="82"/>
      <c r="BF50" s="82"/>
      <c r="BG50" s="48"/>
      <c r="BH50" s="48"/>
      <c r="BI50" s="48"/>
      <c r="BJ50" s="48"/>
      <c r="BK50" s="48"/>
      <c r="BL50" s="48"/>
      <c r="BM50" s="48"/>
    </row>
    <row r="51" spans="1:65" ht="14.25" x14ac:dyDescent="0.2">
      <c r="A51" s="165" t="s">
        <v>24</v>
      </c>
      <c r="B51" s="48">
        <v>17200</v>
      </c>
      <c r="C51" s="48">
        <v>20728.39</v>
      </c>
      <c r="D51" s="48"/>
      <c r="E51" s="48">
        <v>18200</v>
      </c>
      <c r="F51" s="48">
        <v>16733</v>
      </c>
      <c r="H51" s="48">
        <v>18200</v>
      </c>
      <c r="I51" s="48">
        <v>56397</v>
      </c>
      <c r="J51" s="48">
        <v>77200</v>
      </c>
      <c r="K51" s="48">
        <v>21955</v>
      </c>
      <c r="L51" s="50">
        <v>77200</v>
      </c>
      <c r="M51" s="50">
        <v>34568</v>
      </c>
      <c r="N51" s="50">
        <v>50200</v>
      </c>
      <c r="O51" s="50">
        <v>59560.2</v>
      </c>
      <c r="P51" s="50">
        <v>41200</v>
      </c>
      <c r="Q51" s="50">
        <v>24080</v>
      </c>
      <c r="R51" s="50">
        <v>29000</v>
      </c>
      <c r="S51" s="50">
        <v>50826</v>
      </c>
      <c r="T51" s="50">
        <f t="shared" si="3"/>
        <v>41000</v>
      </c>
      <c r="U51" s="82">
        <v>23000</v>
      </c>
      <c r="V51" s="82"/>
      <c r="W51" s="82"/>
      <c r="X51" s="82"/>
      <c r="Y51" s="82"/>
      <c r="Z51" s="82">
        <v>2000</v>
      </c>
      <c r="AA51" s="48">
        <v>0</v>
      </c>
      <c r="AB51" s="82">
        <v>1500</v>
      </c>
      <c r="AC51" s="48"/>
      <c r="AD51" s="82"/>
      <c r="AE51" s="82"/>
      <c r="AF51" s="82" t="s">
        <v>14</v>
      </c>
      <c r="AG51" s="48"/>
      <c r="AH51" s="82"/>
      <c r="AI51" s="48">
        <v>0</v>
      </c>
      <c r="AJ51" s="82"/>
      <c r="AK51" s="48"/>
      <c r="AL51" s="82">
        <v>0</v>
      </c>
      <c r="AM51" s="48"/>
      <c r="AN51" s="48"/>
      <c r="AO51" s="82"/>
      <c r="AP51" s="48">
        <v>2000</v>
      </c>
      <c r="AQ51" s="82"/>
      <c r="AR51" s="48">
        <v>11000</v>
      </c>
      <c r="AS51" s="82">
        <v>1500</v>
      </c>
      <c r="AT51" s="48"/>
      <c r="AU51" s="82"/>
      <c r="AV51" s="48"/>
      <c r="AW51" s="82"/>
      <c r="AX51" s="48"/>
      <c r="AY51" s="82"/>
      <c r="AZ51" s="48"/>
      <c r="BA51" s="82"/>
      <c r="BB51" s="48"/>
      <c r="BC51" s="82"/>
      <c r="BD51" s="48"/>
      <c r="BE51" s="82"/>
      <c r="BF51" s="82"/>
      <c r="BG51" s="48"/>
      <c r="BH51" s="48"/>
      <c r="BI51" s="48"/>
      <c r="BJ51" s="48"/>
      <c r="BK51" s="48"/>
      <c r="BL51" s="48"/>
      <c r="BM51" s="48"/>
    </row>
    <row r="52" spans="1:65" ht="14.25" x14ac:dyDescent="0.2">
      <c r="A52" s="165" t="s">
        <v>74</v>
      </c>
      <c r="B52" s="48">
        <v>700</v>
      </c>
      <c r="C52" s="48">
        <v>4824</v>
      </c>
      <c r="D52" s="48"/>
      <c r="E52" s="48">
        <v>800</v>
      </c>
      <c r="F52" s="48">
        <v>2640</v>
      </c>
      <c r="H52" s="48">
        <v>500</v>
      </c>
      <c r="I52" s="48">
        <v>0</v>
      </c>
      <c r="J52" s="48">
        <v>500</v>
      </c>
      <c r="K52" s="48">
        <v>11</v>
      </c>
      <c r="L52" s="50">
        <f t="shared" si="10"/>
        <v>0</v>
      </c>
      <c r="M52" s="50">
        <v>0</v>
      </c>
      <c r="N52" s="50">
        <v>250</v>
      </c>
      <c r="O52" s="50">
        <v>52</v>
      </c>
      <c r="P52" s="50">
        <v>100</v>
      </c>
      <c r="Q52" s="50"/>
      <c r="R52" s="50">
        <v>100</v>
      </c>
      <c r="S52" s="50">
        <v>0</v>
      </c>
      <c r="T52" s="50">
        <f t="shared" si="3"/>
        <v>0</v>
      </c>
      <c r="U52" s="82"/>
      <c r="V52" s="82"/>
      <c r="W52" s="82"/>
      <c r="X52" s="82"/>
      <c r="Y52" s="82"/>
      <c r="Z52" s="82"/>
      <c r="AA52" s="48"/>
      <c r="AB52" s="82"/>
      <c r="AC52" s="48"/>
      <c r="AD52" s="82"/>
      <c r="AE52" s="82"/>
      <c r="AF52" s="82"/>
      <c r="AG52" s="48"/>
      <c r="AH52" s="82"/>
      <c r="AI52" s="48"/>
      <c r="AJ52" s="82"/>
      <c r="AK52" s="48"/>
      <c r="AL52" s="82"/>
      <c r="AM52" s="48"/>
      <c r="AN52" s="48"/>
      <c r="AO52" s="82"/>
      <c r="AP52" s="48"/>
      <c r="AQ52" s="82"/>
      <c r="AR52" s="48"/>
      <c r="AS52" s="82"/>
      <c r="AT52" s="48"/>
      <c r="AU52" s="82"/>
      <c r="AV52" s="48"/>
      <c r="AW52" s="82"/>
      <c r="AX52" s="48"/>
      <c r="AY52" s="82"/>
      <c r="AZ52" s="48"/>
      <c r="BA52" s="82"/>
      <c r="BB52" s="48"/>
      <c r="BC52" s="82"/>
      <c r="BD52" s="48"/>
      <c r="BE52" s="82"/>
      <c r="BF52" s="82"/>
      <c r="BG52" s="48"/>
      <c r="BH52" s="48"/>
      <c r="BI52" s="48"/>
      <c r="BJ52" s="48"/>
      <c r="BK52" s="48"/>
      <c r="BL52" s="48"/>
      <c r="BM52" s="48"/>
    </row>
    <row r="53" spans="1:65" ht="14.25" x14ac:dyDescent="0.2">
      <c r="A53" s="165" t="s">
        <v>25</v>
      </c>
      <c r="B53" s="48">
        <v>3000</v>
      </c>
      <c r="C53" s="48">
        <v>2676</v>
      </c>
      <c r="D53" s="48"/>
      <c r="E53" s="48">
        <v>3000</v>
      </c>
      <c r="F53" s="48">
        <v>2676</v>
      </c>
      <c r="H53" s="48">
        <v>3000</v>
      </c>
      <c r="I53" s="48">
        <v>2676</v>
      </c>
      <c r="J53" s="48">
        <v>3000</v>
      </c>
      <c r="K53" s="48">
        <v>2676</v>
      </c>
      <c r="L53" s="50">
        <v>3000</v>
      </c>
      <c r="M53" s="50">
        <v>2676</v>
      </c>
      <c r="N53" s="50">
        <v>2800</v>
      </c>
      <c r="O53" s="50">
        <v>2676</v>
      </c>
      <c r="P53" s="50">
        <v>2800</v>
      </c>
      <c r="Q53" s="50">
        <v>2899</v>
      </c>
      <c r="R53" s="50">
        <v>3000</v>
      </c>
      <c r="S53" s="50">
        <v>2676</v>
      </c>
      <c r="T53" s="50">
        <f t="shared" si="3"/>
        <v>3000</v>
      </c>
      <c r="U53" s="82">
        <v>3000</v>
      </c>
      <c r="V53" s="82"/>
      <c r="W53" s="82"/>
      <c r="X53" s="82"/>
      <c r="Y53" s="82"/>
      <c r="Z53" s="82"/>
      <c r="AA53" s="48"/>
      <c r="AB53" s="82"/>
      <c r="AC53" s="48"/>
      <c r="AD53" s="82"/>
      <c r="AE53" s="82"/>
      <c r="AF53" s="82"/>
      <c r="AG53" s="48"/>
      <c r="AH53" s="82"/>
      <c r="AI53" s="48"/>
      <c r="AJ53" s="82"/>
      <c r="AK53" s="48"/>
      <c r="AL53" s="82"/>
      <c r="AM53" s="48"/>
      <c r="AN53" s="48"/>
      <c r="AO53" s="82"/>
      <c r="AP53" s="48"/>
      <c r="AQ53" s="82"/>
      <c r="AR53" s="48"/>
      <c r="AS53" s="82"/>
      <c r="AT53" s="48"/>
      <c r="AU53" s="82"/>
      <c r="AV53" s="48"/>
      <c r="AW53" s="82"/>
      <c r="AX53" s="48"/>
      <c r="AY53" s="82"/>
      <c r="AZ53" s="48"/>
      <c r="BA53" s="82"/>
      <c r="BB53" s="48"/>
      <c r="BC53" s="82"/>
      <c r="BD53" s="48"/>
      <c r="BE53" s="82"/>
      <c r="BF53" s="82"/>
      <c r="BG53" s="48"/>
      <c r="BH53" s="48"/>
      <c r="BI53" s="48"/>
      <c r="BJ53" s="48"/>
      <c r="BK53" s="48"/>
      <c r="BL53" s="48"/>
      <c r="BM53" s="48"/>
    </row>
    <row r="54" spans="1:65" ht="14.25" x14ac:dyDescent="0.2">
      <c r="A54" s="165" t="s">
        <v>26</v>
      </c>
      <c r="B54" s="48">
        <v>32000</v>
      </c>
      <c r="C54" s="48">
        <v>10379</v>
      </c>
      <c r="D54" s="48"/>
      <c r="E54" s="48">
        <v>8000</v>
      </c>
      <c r="F54" s="48">
        <v>16425</v>
      </c>
      <c r="H54" s="48">
        <v>22000</v>
      </c>
      <c r="I54" s="48">
        <v>23216</v>
      </c>
      <c r="J54" s="48">
        <v>22000</v>
      </c>
      <c r="K54" s="48">
        <v>1838</v>
      </c>
      <c r="L54" s="50">
        <v>37500</v>
      </c>
      <c r="M54" s="50">
        <v>9008</v>
      </c>
      <c r="N54" s="50">
        <v>255000</v>
      </c>
      <c r="O54" s="50">
        <v>914</v>
      </c>
      <c r="P54" s="50">
        <v>154500</v>
      </c>
      <c r="Q54" s="50">
        <v>19078</v>
      </c>
      <c r="R54" s="50">
        <v>154500</v>
      </c>
      <c r="S54" s="50">
        <v>33400</v>
      </c>
      <c r="T54" s="50">
        <f t="shared" si="3"/>
        <v>154000</v>
      </c>
      <c r="U54" s="82">
        <v>1000</v>
      </c>
      <c r="V54" s="82"/>
      <c r="W54" s="82">
        <v>3000</v>
      </c>
      <c r="X54" s="82"/>
      <c r="Y54" s="82"/>
      <c r="Z54" s="82"/>
      <c r="AA54" s="48"/>
      <c r="AB54" s="82"/>
      <c r="AC54" s="48"/>
      <c r="AD54" s="82"/>
      <c r="AE54" s="82"/>
      <c r="AF54" s="82"/>
      <c r="AG54" s="48">
        <v>150000</v>
      </c>
      <c r="AH54" s="82" t="s">
        <v>14</v>
      </c>
      <c r="AI54" s="48" t="s">
        <v>14</v>
      </c>
      <c r="AJ54" s="82"/>
      <c r="AK54" s="48"/>
      <c r="AL54" s="82"/>
      <c r="AM54" s="48"/>
      <c r="AN54" s="48"/>
      <c r="AO54" s="82"/>
      <c r="AP54" s="48"/>
      <c r="AQ54" s="82"/>
      <c r="AR54" s="48"/>
      <c r="AS54" s="82"/>
      <c r="AT54" s="48"/>
      <c r="AU54" s="82"/>
      <c r="AV54" s="48"/>
      <c r="AW54" s="82"/>
      <c r="AX54" s="48"/>
      <c r="AY54" s="82"/>
      <c r="AZ54" s="48"/>
      <c r="BA54" s="82"/>
      <c r="BB54" s="48"/>
      <c r="BC54" s="82"/>
      <c r="BD54" s="48"/>
      <c r="BE54" s="82"/>
      <c r="BF54" s="82"/>
      <c r="BG54" s="48"/>
      <c r="BH54" s="48"/>
      <c r="BI54" s="48"/>
      <c r="BJ54" s="48"/>
      <c r="BK54" s="48"/>
      <c r="BL54" s="48"/>
      <c r="BM54" s="48"/>
    </row>
    <row r="55" spans="1:65" ht="14.25" x14ac:dyDescent="0.2">
      <c r="A55" s="165" t="s">
        <v>105</v>
      </c>
      <c r="B55" s="48">
        <v>57500</v>
      </c>
      <c r="C55" s="48">
        <v>42420</v>
      </c>
      <c r="D55" s="48"/>
      <c r="E55" s="48">
        <v>49000</v>
      </c>
      <c r="F55" s="48">
        <v>26800</v>
      </c>
      <c r="H55" s="48">
        <v>42000</v>
      </c>
      <c r="I55" s="48">
        <v>42000</v>
      </c>
      <c r="J55" s="48">
        <v>42000</v>
      </c>
      <c r="K55" s="48">
        <v>42000</v>
      </c>
      <c r="L55" s="50">
        <f t="shared" si="10"/>
        <v>49000</v>
      </c>
      <c r="M55" s="50">
        <f t="shared" si="11"/>
        <v>49000</v>
      </c>
      <c r="N55" s="50">
        <v>49000</v>
      </c>
      <c r="O55" s="50">
        <v>42000</v>
      </c>
      <c r="P55" s="50">
        <v>49000</v>
      </c>
      <c r="Q55" s="50">
        <v>56000</v>
      </c>
      <c r="R55" s="50">
        <v>49000</v>
      </c>
      <c r="S55" s="50">
        <v>49000</v>
      </c>
      <c r="T55" s="50">
        <f t="shared" si="3"/>
        <v>49000</v>
      </c>
      <c r="U55" s="82"/>
      <c r="V55" s="82"/>
      <c r="W55" s="82">
        <v>49000</v>
      </c>
      <c r="X55" s="82"/>
      <c r="Y55" s="82"/>
      <c r="Z55" s="82"/>
      <c r="AA55" s="48"/>
      <c r="AB55" s="82"/>
      <c r="AC55" s="48"/>
      <c r="AD55" s="82"/>
      <c r="AE55" s="82"/>
      <c r="AF55" s="82"/>
      <c r="AG55" s="48"/>
      <c r="AH55" s="82"/>
      <c r="AI55" s="48"/>
      <c r="AJ55" s="82"/>
      <c r="AK55" s="48"/>
      <c r="AL55" s="82"/>
      <c r="AM55" s="48"/>
      <c r="AN55" s="48"/>
      <c r="AO55" s="82"/>
      <c r="AP55" s="48"/>
      <c r="AQ55" s="82"/>
      <c r="AR55" s="48"/>
      <c r="AS55" s="82"/>
      <c r="AT55" s="48"/>
      <c r="AU55" s="82"/>
      <c r="AV55" s="48"/>
      <c r="AW55" s="82"/>
      <c r="AX55" s="48"/>
      <c r="AY55" s="82"/>
      <c r="AZ55" s="48"/>
      <c r="BA55" s="82"/>
      <c r="BB55" s="48"/>
      <c r="BC55" s="82"/>
      <c r="BD55" s="48"/>
      <c r="BE55" s="82"/>
      <c r="BF55" s="82"/>
      <c r="BG55" s="48"/>
      <c r="BH55" s="48"/>
      <c r="BI55" s="48"/>
      <c r="BJ55" s="48"/>
      <c r="BK55" s="48"/>
      <c r="BL55" s="48"/>
      <c r="BM55" s="48"/>
    </row>
    <row r="56" spans="1:65" ht="14.25" x14ac:dyDescent="0.2">
      <c r="A56" s="165" t="s">
        <v>27</v>
      </c>
      <c r="B56" s="48">
        <v>1000</v>
      </c>
      <c r="C56" s="48">
        <v>1000</v>
      </c>
      <c r="D56" s="48"/>
      <c r="E56" s="48">
        <v>1000</v>
      </c>
      <c r="F56" s="48">
        <v>0</v>
      </c>
      <c r="H56" s="48">
        <v>1000</v>
      </c>
      <c r="I56" s="48">
        <v>0</v>
      </c>
      <c r="J56" s="48">
        <v>1000</v>
      </c>
      <c r="K56" s="48">
        <v>0</v>
      </c>
      <c r="L56" s="50">
        <f t="shared" si="10"/>
        <v>0</v>
      </c>
      <c r="M56" s="50">
        <f t="shared" si="11"/>
        <v>0</v>
      </c>
      <c r="N56" s="50">
        <v>0</v>
      </c>
      <c r="O56" s="50">
        <v>0</v>
      </c>
      <c r="P56" s="50">
        <v>0</v>
      </c>
      <c r="Q56" s="50"/>
      <c r="R56" s="50">
        <v>0</v>
      </c>
      <c r="S56" s="50">
        <v>0</v>
      </c>
      <c r="T56" s="50">
        <f t="shared" si="3"/>
        <v>0</v>
      </c>
      <c r="U56" s="82"/>
      <c r="V56" s="82"/>
      <c r="W56" s="82"/>
      <c r="X56" s="82"/>
      <c r="Y56" s="82"/>
      <c r="Z56" s="82"/>
      <c r="AA56" s="48"/>
      <c r="AB56" s="82"/>
      <c r="AC56" s="48"/>
      <c r="AD56" s="82"/>
      <c r="AE56" s="82"/>
      <c r="AF56" s="82"/>
      <c r="AG56" s="48"/>
      <c r="AH56" s="82"/>
      <c r="AI56" s="48"/>
      <c r="AJ56" s="82"/>
      <c r="AK56" s="48"/>
      <c r="AL56" s="82"/>
      <c r="AM56" s="48"/>
      <c r="AN56" s="48"/>
      <c r="AO56" s="82"/>
      <c r="AP56" s="48"/>
      <c r="AQ56" s="82"/>
      <c r="AR56" s="48"/>
      <c r="AS56" s="82"/>
      <c r="AT56" s="48"/>
      <c r="AU56" s="82"/>
      <c r="AV56" s="48"/>
      <c r="AW56" s="82"/>
      <c r="AX56" s="48"/>
      <c r="AY56" s="82"/>
      <c r="AZ56" s="48"/>
      <c r="BA56" s="82"/>
      <c r="BB56" s="48"/>
      <c r="BC56" s="82"/>
      <c r="BD56" s="48"/>
      <c r="BE56" s="82"/>
      <c r="BF56" s="82"/>
      <c r="BG56" s="48"/>
      <c r="BH56" s="48"/>
      <c r="BI56" s="48"/>
      <c r="BJ56" s="48"/>
      <c r="BK56" s="48"/>
      <c r="BL56" s="48"/>
      <c r="BM56" s="48"/>
    </row>
    <row r="57" spans="1:65" ht="14.25" x14ac:dyDescent="0.2">
      <c r="A57" s="165" t="s">
        <v>174</v>
      </c>
      <c r="B57" s="48"/>
      <c r="C57" s="48"/>
      <c r="D57" s="48"/>
      <c r="E57" s="48"/>
      <c r="F57" s="48">
        <v>0</v>
      </c>
      <c r="H57" s="48"/>
      <c r="I57" s="48"/>
      <c r="J57" s="48">
        <v>0</v>
      </c>
      <c r="K57" s="48">
        <v>0</v>
      </c>
      <c r="L57" s="50">
        <f t="shared" si="10"/>
        <v>0</v>
      </c>
      <c r="M57" s="50">
        <f t="shared" si="11"/>
        <v>0</v>
      </c>
      <c r="N57" s="50">
        <v>0</v>
      </c>
      <c r="O57" s="50">
        <v>0</v>
      </c>
      <c r="P57" s="50">
        <v>0</v>
      </c>
      <c r="Q57" s="50"/>
      <c r="R57" s="50">
        <v>0</v>
      </c>
      <c r="S57" s="50">
        <v>0</v>
      </c>
      <c r="T57" s="50">
        <f t="shared" si="3"/>
        <v>0</v>
      </c>
      <c r="U57" s="82"/>
      <c r="V57" s="82"/>
      <c r="W57" s="82"/>
      <c r="X57" s="82"/>
      <c r="Y57" s="82"/>
      <c r="Z57" s="82"/>
      <c r="AA57" s="48"/>
      <c r="AB57" s="82"/>
      <c r="AC57" s="48"/>
      <c r="AD57" s="82"/>
      <c r="AE57" s="82"/>
      <c r="AF57" s="82"/>
      <c r="AG57" s="48"/>
      <c r="AH57" s="82"/>
      <c r="AI57" s="48"/>
      <c r="AJ57" s="82"/>
      <c r="AK57" s="48"/>
      <c r="AL57" s="82"/>
      <c r="AM57" s="48"/>
      <c r="AN57" s="48"/>
      <c r="AO57" s="82"/>
      <c r="AP57" s="48"/>
      <c r="AQ57" s="82"/>
      <c r="AR57" s="48"/>
      <c r="AS57" s="82"/>
      <c r="AT57" s="48"/>
      <c r="AU57" s="82"/>
      <c r="AV57" s="48"/>
      <c r="AW57" s="82"/>
      <c r="AX57" s="48"/>
      <c r="AY57" s="82"/>
      <c r="AZ57" s="48"/>
      <c r="BA57" s="82"/>
      <c r="BB57" s="48"/>
      <c r="BC57" s="82"/>
      <c r="BD57" s="48"/>
      <c r="BE57" s="82"/>
      <c r="BF57" s="82"/>
      <c r="BG57" s="48"/>
      <c r="BH57" s="48"/>
      <c r="BI57" s="48"/>
      <c r="BJ57" s="48"/>
      <c r="BK57" s="48"/>
      <c r="BL57" s="48"/>
      <c r="BM57" s="48"/>
    </row>
    <row r="58" spans="1:65" ht="14.25" x14ac:dyDescent="0.2">
      <c r="A58" s="165" t="s">
        <v>28</v>
      </c>
      <c r="B58" s="48">
        <v>1300</v>
      </c>
      <c r="C58" s="48">
        <v>1772</v>
      </c>
      <c r="D58" s="48"/>
      <c r="E58" s="48">
        <v>2500</v>
      </c>
      <c r="F58" s="48">
        <v>1890</v>
      </c>
      <c r="H58" s="48">
        <v>2000</v>
      </c>
      <c r="I58" s="48">
        <v>2099</v>
      </c>
      <c r="J58" s="48">
        <v>2000</v>
      </c>
      <c r="K58" s="48">
        <v>1994</v>
      </c>
      <c r="L58" s="50">
        <v>2200</v>
      </c>
      <c r="M58" s="50">
        <v>2685</v>
      </c>
      <c r="N58" s="50">
        <v>2800</v>
      </c>
      <c r="O58" s="50">
        <v>3030.63</v>
      </c>
      <c r="P58" s="50">
        <v>3000</v>
      </c>
      <c r="Q58" s="50">
        <v>3898</v>
      </c>
      <c r="R58" s="50">
        <v>4000</v>
      </c>
      <c r="S58" s="50">
        <v>2928</v>
      </c>
      <c r="T58" s="50">
        <f t="shared" si="3"/>
        <v>3000</v>
      </c>
      <c r="U58" s="82">
        <v>3000</v>
      </c>
      <c r="V58" s="82"/>
      <c r="W58" s="82"/>
      <c r="X58" s="82"/>
      <c r="Y58" s="82"/>
      <c r="Z58" s="82"/>
      <c r="AA58" s="48"/>
      <c r="AB58" s="82"/>
      <c r="AC58" s="48"/>
      <c r="AD58" s="82"/>
      <c r="AE58" s="82"/>
      <c r="AF58" s="82"/>
      <c r="AG58" s="48"/>
      <c r="AH58" s="82"/>
      <c r="AI58" s="48"/>
      <c r="AJ58" s="82"/>
      <c r="AK58" s="48"/>
      <c r="AL58" s="82"/>
      <c r="AM58" s="48"/>
      <c r="AN58" s="48"/>
      <c r="AO58" s="82"/>
      <c r="AP58" s="48"/>
      <c r="AQ58" s="82"/>
      <c r="AR58" s="48"/>
      <c r="AS58" s="82"/>
      <c r="AT58" s="48"/>
      <c r="AU58" s="82"/>
      <c r="AV58" s="48"/>
      <c r="AW58" s="82"/>
      <c r="AX58" s="48"/>
      <c r="AY58" s="82"/>
      <c r="AZ58" s="48"/>
      <c r="BA58" s="82"/>
      <c r="BB58" s="48"/>
      <c r="BC58" s="82"/>
      <c r="BD58" s="48"/>
      <c r="BE58" s="82"/>
      <c r="BF58" s="82"/>
      <c r="BG58" s="48"/>
      <c r="BH58" s="48"/>
      <c r="BI58" s="48"/>
      <c r="BJ58" s="48"/>
      <c r="BK58" s="48"/>
      <c r="BL58" s="48"/>
      <c r="BM58" s="48"/>
    </row>
    <row r="59" spans="1:65" ht="14.25" x14ac:dyDescent="0.2">
      <c r="A59" s="165" t="s">
        <v>80</v>
      </c>
      <c r="B59" s="48">
        <v>135000</v>
      </c>
      <c r="C59" s="48">
        <v>128097</v>
      </c>
      <c r="D59" s="48"/>
      <c r="E59" s="48">
        <v>135000</v>
      </c>
      <c r="F59" s="48">
        <v>121287</v>
      </c>
      <c r="H59" s="48">
        <v>50000</v>
      </c>
      <c r="I59" s="48">
        <v>0</v>
      </c>
      <c r="J59" s="48">
        <v>25000</v>
      </c>
      <c r="K59" s="48">
        <v>0</v>
      </c>
      <c r="L59" s="50">
        <v>0</v>
      </c>
      <c r="M59" s="50">
        <v>30000</v>
      </c>
      <c r="N59" s="50">
        <v>150000</v>
      </c>
      <c r="O59" s="50">
        <v>150000</v>
      </c>
      <c r="P59" s="50">
        <v>0</v>
      </c>
      <c r="Q59" s="50"/>
      <c r="R59" s="50">
        <v>0</v>
      </c>
      <c r="S59" s="50">
        <v>0</v>
      </c>
      <c r="T59" s="50">
        <f t="shared" si="3"/>
        <v>0</v>
      </c>
      <c r="U59" s="82"/>
      <c r="V59" s="82"/>
      <c r="W59" s="82"/>
      <c r="X59" s="82"/>
      <c r="Y59" s="82"/>
      <c r="Z59" s="82"/>
      <c r="AA59" s="48"/>
      <c r="AB59" s="82"/>
      <c r="AC59" s="48"/>
      <c r="AD59" s="82"/>
      <c r="AE59" s="82"/>
      <c r="AF59" s="82"/>
      <c r="AG59" s="48"/>
      <c r="AH59" s="82"/>
      <c r="AI59" s="48"/>
      <c r="AJ59" s="82"/>
      <c r="AK59" s="48"/>
      <c r="AL59" s="82"/>
      <c r="AM59" s="48"/>
      <c r="AN59" s="48"/>
      <c r="AO59" s="82"/>
      <c r="AP59" s="48"/>
      <c r="AQ59" s="82"/>
      <c r="AR59" s="48"/>
      <c r="AS59" s="82"/>
      <c r="AT59" s="48"/>
      <c r="AU59" s="82"/>
      <c r="AV59" s="48"/>
      <c r="AW59" s="82"/>
      <c r="AX59" s="48"/>
      <c r="AY59" s="82"/>
      <c r="AZ59" s="48"/>
      <c r="BA59" s="82"/>
      <c r="BB59" s="48"/>
      <c r="BC59" s="82"/>
      <c r="BD59" s="48"/>
      <c r="BE59" s="82"/>
      <c r="BF59" s="82"/>
      <c r="BG59" s="48"/>
      <c r="BH59" s="48"/>
      <c r="BI59" s="48"/>
      <c r="BJ59" s="48"/>
      <c r="BK59" s="48"/>
      <c r="BL59" s="48"/>
      <c r="BM59" s="48"/>
    </row>
    <row r="60" spans="1:65" ht="14.25" x14ac:dyDescent="0.2">
      <c r="A60" s="167" t="s">
        <v>81</v>
      </c>
      <c r="B60" s="48">
        <v>16000</v>
      </c>
      <c r="C60" s="48">
        <v>15371</v>
      </c>
      <c r="D60" s="48"/>
      <c r="E60" s="48">
        <v>16000</v>
      </c>
      <c r="F60" s="48">
        <v>14555</v>
      </c>
      <c r="H60" s="48">
        <v>6000</v>
      </c>
      <c r="I60" s="48">
        <v>0</v>
      </c>
      <c r="J60" s="48">
        <v>6000</v>
      </c>
      <c r="K60" s="48">
        <v>0</v>
      </c>
      <c r="L60" s="50">
        <f t="shared" si="10"/>
        <v>0</v>
      </c>
      <c r="M60" s="50">
        <f t="shared" si="11"/>
        <v>0</v>
      </c>
      <c r="N60" s="50">
        <v>0</v>
      </c>
      <c r="O60" s="50">
        <v>0</v>
      </c>
      <c r="P60" s="50">
        <v>0</v>
      </c>
      <c r="Q60" s="50"/>
      <c r="R60" s="50">
        <v>0</v>
      </c>
      <c r="S60" s="50">
        <v>0</v>
      </c>
      <c r="T60" s="50">
        <f t="shared" si="3"/>
        <v>0</v>
      </c>
      <c r="U60" s="82" t="s">
        <v>14</v>
      </c>
      <c r="V60" s="82"/>
      <c r="W60" s="82"/>
      <c r="X60" s="82"/>
      <c r="Y60" s="82"/>
      <c r="Z60" s="82"/>
      <c r="AA60" s="48"/>
      <c r="AB60" s="82"/>
      <c r="AC60" s="48"/>
      <c r="AD60" s="82"/>
      <c r="AE60" s="82"/>
      <c r="AF60" s="82"/>
      <c r="AG60" s="48"/>
      <c r="AH60" s="82"/>
      <c r="AI60" s="48"/>
      <c r="AJ60" s="82"/>
      <c r="AK60" s="48"/>
      <c r="AL60" s="82"/>
      <c r="AM60" s="48"/>
      <c r="AN60" s="48"/>
      <c r="AO60" s="82"/>
      <c r="AP60" s="48"/>
      <c r="AQ60" s="82"/>
      <c r="AR60" s="48"/>
      <c r="AS60" s="82"/>
      <c r="AT60" s="48"/>
      <c r="AU60" s="82"/>
      <c r="AV60" s="48"/>
      <c r="AW60" s="82"/>
      <c r="AX60" s="48"/>
      <c r="AY60" s="82"/>
      <c r="AZ60" s="48"/>
      <c r="BA60" s="82"/>
      <c r="BB60" s="48"/>
      <c r="BC60" s="82"/>
      <c r="BD60" s="48"/>
      <c r="BE60" s="82"/>
      <c r="BF60" s="82"/>
      <c r="BG60" s="48"/>
      <c r="BH60" s="48"/>
      <c r="BI60" s="48"/>
      <c r="BJ60" s="48"/>
      <c r="BK60" s="48"/>
      <c r="BL60" s="48"/>
      <c r="BM60" s="48"/>
    </row>
    <row r="61" spans="1:65" ht="14.25" x14ac:dyDescent="0.2">
      <c r="A61" s="167" t="s">
        <v>163</v>
      </c>
      <c r="B61" s="48">
        <v>7000</v>
      </c>
      <c r="C61" s="48">
        <v>6454</v>
      </c>
      <c r="D61" s="48"/>
      <c r="E61" s="48">
        <v>7000</v>
      </c>
      <c r="F61" s="48">
        <v>20134</v>
      </c>
      <c r="H61" s="48">
        <v>3500</v>
      </c>
      <c r="I61" s="48">
        <v>0</v>
      </c>
      <c r="J61" s="48">
        <v>3500</v>
      </c>
      <c r="K61" s="48">
        <v>0</v>
      </c>
      <c r="L61" s="50">
        <f t="shared" si="10"/>
        <v>0</v>
      </c>
      <c r="M61" s="50">
        <f t="shared" si="11"/>
        <v>0</v>
      </c>
      <c r="N61" s="50">
        <v>0</v>
      </c>
      <c r="O61" s="50">
        <v>0</v>
      </c>
      <c r="P61" s="50">
        <v>0</v>
      </c>
      <c r="Q61" s="50"/>
      <c r="R61" s="50">
        <v>0</v>
      </c>
      <c r="S61" s="50">
        <v>0</v>
      </c>
      <c r="T61" s="50">
        <f t="shared" si="3"/>
        <v>0</v>
      </c>
      <c r="U61" s="82" t="s">
        <v>14</v>
      </c>
      <c r="V61" s="82"/>
      <c r="W61" s="82"/>
      <c r="X61" s="82"/>
      <c r="Y61" s="82"/>
      <c r="Z61" s="82"/>
      <c r="AA61" s="48"/>
      <c r="AB61" s="82"/>
      <c r="AC61" s="48"/>
      <c r="AD61" s="82"/>
      <c r="AE61" s="82"/>
      <c r="AF61" s="82"/>
      <c r="AG61" s="48"/>
      <c r="AH61" s="82"/>
      <c r="AI61" s="48"/>
      <c r="AJ61" s="82"/>
      <c r="AK61" s="48"/>
      <c r="AL61" s="82"/>
      <c r="AM61" s="48"/>
      <c r="AN61" s="48"/>
      <c r="AO61" s="82"/>
      <c r="AP61" s="48"/>
      <c r="AQ61" s="82"/>
      <c r="AR61" s="48"/>
      <c r="AS61" s="82"/>
      <c r="AT61" s="48"/>
      <c r="AU61" s="82"/>
      <c r="AV61" s="48"/>
      <c r="AW61" s="82"/>
      <c r="AX61" s="48"/>
      <c r="AY61" s="82"/>
      <c r="AZ61" s="48"/>
      <c r="BA61" s="82"/>
      <c r="BB61" s="48"/>
      <c r="BC61" s="82"/>
      <c r="BD61" s="48"/>
      <c r="BE61" s="82"/>
      <c r="BF61" s="82"/>
      <c r="BG61" s="48"/>
      <c r="BH61" s="48"/>
      <c r="BI61" s="48"/>
      <c r="BJ61" s="48"/>
      <c r="BK61" s="48"/>
      <c r="BL61" s="48"/>
      <c r="BM61" s="48"/>
    </row>
    <row r="62" spans="1:65" ht="14.25" x14ac:dyDescent="0.2">
      <c r="A62" s="167" t="s">
        <v>204</v>
      </c>
      <c r="B62" s="48">
        <v>0</v>
      </c>
      <c r="C62" s="48">
        <v>0</v>
      </c>
      <c r="D62" s="48"/>
      <c r="E62" s="48">
        <v>0</v>
      </c>
      <c r="F62" s="48">
        <v>0</v>
      </c>
      <c r="H62" s="48">
        <v>0</v>
      </c>
      <c r="I62" s="48">
        <v>0</v>
      </c>
      <c r="J62" s="48">
        <v>0</v>
      </c>
      <c r="K62" s="48">
        <v>0</v>
      </c>
      <c r="L62" s="50">
        <v>0</v>
      </c>
      <c r="M62" s="50">
        <v>-53</v>
      </c>
      <c r="N62" s="50">
        <v>0</v>
      </c>
      <c r="O62" s="50">
        <v>0</v>
      </c>
      <c r="P62" s="50">
        <v>0</v>
      </c>
      <c r="Q62" s="50"/>
      <c r="R62" s="50">
        <v>0</v>
      </c>
      <c r="S62" s="50">
        <v>0</v>
      </c>
      <c r="T62" s="50">
        <f t="shared" si="3"/>
        <v>0</v>
      </c>
      <c r="U62" s="82"/>
      <c r="V62" s="82"/>
      <c r="W62" s="82"/>
      <c r="X62" s="82"/>
      <c r="Y62" s="82"/>
      <c r="Z62" s="82"/>
      <c r="AA62" s="48"/>
      <c r="AB62" s="82"/>
      <c r="AC62" s="48"/>
      <c r="AD62" s="82"/>
      <c r="AE62" s="82"/>
      <c r="AF62" s="82"/>
      <c r="AG62" s="48"/>
      <c r="AH62" s="82"/>
      <c r="AI62" s="48"/>
      <c r="AJ62" s="82"/>
      <c r="AK62" s="48"/>
      <c r="AL62" s="82"/>
      <c r="AM62" s="48"/>
      <c r="AN62" s="48"/>
      <c r="AO62" s="82"/>
      <c r="AP62" s="48"/>
      <c r="AQ62" s="82"/>
      <c r="AR62" s="48"/>
      <c r="AS62" s="82"/>
      <c r="AT62" s="48"/>
      <c r="AU62" s="82"/>
      <c r="AV62" s="48"/>
      <c r="AW62" s="82"/>
      <c r="AX62" s="48"/>
      <c r="AY62" s="82"/>
      <c r="AZ62" s="48"/>
      <c r="BA62" s="82"/>
      <c r="BB62" s="48"/>
      <c r="BC62" s="82"/>
      <c r="BD62" s="48"/>
      <c r="BE62" s="82"/>
      <c r="BF62" s="82"/>
      <c r="BG62" s="48"/>
      <c r="BH62" s="48"/>
      <c r="BI62" s="48"/>
      <c r="BJ62" s="48"/>
      <c r="BK62" s="48"/>
      <c r="BL62" s="48"/>
      <c r="BM62" s="48"/>
    </row>
    <row r="63" spans="1:65" ht="14.25" x14ac:dyDescent="0.2">
      <c r="A63" s="167" t="s">
        <v>82</v>
      </c>
      <c r="B63" s="48">
        <v>45000</v>
      </c>
      <c r="C63" s="48">
        <v>47250</v>
      </c>
      <c r="D63" s="48"/>
      <c r="E63" s="48">
        <v>61500</v>
      </c>
      <c r="F63" s="48">
        <v>42673</v>
      </c>
      <c r="H63" s="48">
        <v>34000</v>
      </c>
      <c r="I63" s="48">
        <v>0</v>
      </c>
      <c r="J63" s="48">
        <v>24000</v>
      </c>
      <c r="K63" s="48">
        <v>0</v>
      </c>
      <c r="L63" s="50">
        <v>0</v>
      </c>
      <c r="M63" s="50">
        <v>9452</v>
      </c>
      <c r="N63" s="50">
        <v>47000</v>
      </c>
      <c r="O63" s="50">
        <v>53218</v>
      </c>
      <c r="P63" s="50">
        <v>0</v>
      </c>
      <c r="Q63" s="50">
        <v>-918</v>
      </c>
      <c r="R63" s="50">
        <v>0</v>
      </c>
      <c r="S63" s="50">
        <v>0</v>
      </c>
      <c r="T63" s="50">
        <f t="shared" si="3"/>
        <v>0</v>
      </c>
      <c r="U63" s="82" t="s">
        <v>14</v>
      </c>
      <c r="V63" s="82"/>
      <c r="W63" s="82" t="s">
        <v>14</v>
      </c>
      <c r="X63" s="82"/>
      <c r="Y63" s="82"/>
      <c r="Z63" s="82"/>
      <c r="AA63" s="48"/>
      <c r="AB63" s="82"/>
      <c r="AC63" s="48"/>
      <c r="AD63" s="82"/>
      <c r="AE63" s="82"/>
      <c r="AF63" s="82"/>
      <c r="AG63" s="48"/>
      <c r="AH63" s="82"/>
      <c r="AI63" s="48"/>
      <c r="AJ63" s="82"/>
      <c r="AK63" s="48"/>
      <c r="AL63" s="82"/>
      <c r="AM63" s="48"/>
      <c r="AN63" s="48"/>
      <c r="AO63" s="82"/>
      <c r="AP63" s="48"/>
      <c r="AQ63" s="82"/>
      <c r="AR63" s="48"/>
      <c r="AS63" s="82"/>
      <c r="AT63" s="48"/>
      <c r="AU63" s="82"/>
      <c r="AV63" s="48"/>
      <c r="AW63" s="82"/>
      <c r="AX63" s="48"/>
      <c r="AY63" s="82"/>
      <c r="AZ63" s="48"/>
      <c r="BA63" s="82"/>
      <c r="BB63" s="48"/>
      <c r="BC63" s="82"/>
      <c r="BD63" s="48"/>
      <c r="BE63" s="82"/>
      <c r="BF63" s="82"/>
      <c r="BG63" s="48"/>
      <c r="BH63" s="48"/>
      <c r="BI63" s="48"/>
      <c r="BJ63" s="48"/>
      <c r="BK63" s="48"/>
      <c r="BL63" s="48"/>
      <c r="BM63" s="48"/>
    </row>
    <row r="64" spans="1:65" ht="14.25" x14ac:dyDescent="0.2">
      <c r="A64" s="167" t="s">
        <v>85</v>
      </c>
      <c r="B64" s="48">
        <v>1500</v>
      </c>
      <c r="C64" s="48">
        <v>947</v>
      </c>
      <c r="D64" s="48"/>
      <c r="E64" s="48">
        <v>1000</v>
      </c>
      <c r="F64" s="48">
        <v>480</v>
      </c>
      <c r="H64" s="48">
        <v>1000</v>
      </c>
      <c r="I64" s="48">
        <v>396</v>
      </c>
      <c r="J64" s="48">
        <v>1000</v>
      </c>
      <c r="K64" s="48">
        <v>0</v>
      </c>
      <c r="L64" s="50">
        <v>0</v>
      </c>
      <c r="M64" s="50">
        <v>200</v>
      </c>
      <c r="N64" s="50">
        <v>2000</v>
      </c>
      <c r="O64" s="50">
        <v>2647</v>
      </c>
      <c r="P64" s="50">
        <v>1000</v>
      </c>
      <c r="Q64" s="50">
        <v>-972</v>
      </c>
      <c r="R64" s="50">
        <v>0</v>
      </c>
      <c r="S64" s="50">
        <v>464</v>
      </c>
      <c r="T64" s="50">
        <f t="shared" si="3"/>
        <v>0</v>
      </c>
      <c r="U64" s="82">
        <v>0</v>
      </c>
      <c r="V64" s="82"/>
      <c r="W64" s="82"/>
      <c r="X64" s="82"/>
      <c r="Y64" s="82"/>
      <c r="Z64" s="82"/>
      <c r="AA64" s="48"/>
      <c r="AB64" s="82"/>
      <c r="AC64" s="48"/>
      <c r="AD64" s="82"/>
      <c r="AE64" s="82"/>
      <c r="AF64" s="82"/>
      <c r="AG64" s="48"/>
      <c r="AH64" s="82"/>
      <c r="AI64" s="48"/>
      <c r="AJ64" s="82"/>
      <c r="AK64" s="48"/>
      <c r="AL64" s="82"/>
      <c r="AM64" s="48"/>
      <c r="AN64" s="48"/>
      <c r="AO64" s="82"/>
      <c r="AP64" s="48"/>
      <c r="AQ64" s="82"/>
      <c r="AR64" s="48"/>
      <c r="AS64" s="82"/>
      <c r="AT64" s="48"/>
      <c r="AU64" s="82"/>
      <c r="AV64" s="48"/>
      <c r="AW64" s="82"/>
      <c r="AX64" s="48"/>
      <c r="AY64" s="82"/>
      <c r="AZ64" s="48"/>
      <c r="BA64" s="82"/>
      <c r="BB64" s="48"/>
      <c r="BC64" s="82"/>
      <c r="BD64" s="48"/>
      <c r="BE64" s="82"/>
      <c r="BF64" s="82"/>
      <c r="BG64" s="48"/>
      <c r="BH64" s="48"/>
      <c r="BI64" s="48"/>
      <c r="BJ64" s="48"/>
      <c r="BK64" s="48"/>
      <c r="BL64" s="48"/>
      <c r="BM64" s="48"/>
    </row>
    <row r="65" spans="1:65" ht="14.25" x14ac:dyDescent="0.2">
      <c r="A65" s="167" t="s">
        <v>83</v>
      </c>
      <c r="B65" s="48">
        <v>400</v>
      </c>
      <c r="C65" s="48">
        <v>360</v>
      </c>
      <c r="D65" s="48"/>
      <c r="E65" s="48">
        <v>400</v>
      </c>
      <c r="F65" s="48">
        <v>50</v>
      </c>
      <c r="H65" s="48">
        <v>400</v>
      </c>
      <c r="I65" s="48"/>
      <c r="J65" s="48">
        <v>400</v>
      </c>
      <c r="K65" s="48">
        <v>0</v>
      </c>
      <c r="L65" s="50">
        <f t="shared" ref="L65:L70" si="12">SUM(U65:BF65)</f>
        <v>0</v>
      </c>
      <c r="M65" s="50">
        <f t="shared" si="11"/>
        <v>0</v>
      </c>
      <c r="N65" s="50">
        <v>0</v>
      </c>
      <c r="O65" s="50">
        <v>0</v>
      </c>
      <c r="P65" s="50">
        <v>0</v>
      </c>
      <c r="Q65" s="50"/>
      <c r="R65" s="50">
        <v>0</v>
      </c>
      <c r="S65" s="50">
        <v>0</v>
      </c>
      <c r="T65" s="50">
        <f t="shared" si="3"/>
        <v>0</v>
      </c>
      <c r="U65" s="82" t="s">
        <v>14</v>
      </c>
      <c r="V65" s="82"/>
      <c r="W65" s="82"/>
      <c r="X65" s="82"/>
      <c r="Y65" s="82"/>
      <c r="Z65" s="82"/>
      <c r="AA65" s="48"/>
      <c r="AB65" s="82"/>
      <c r="AC65" s="48"/>
      <c r="AD65" s="82"/>
      <c r="AE65" s="82"/>
      <c r="AF65" s="82"/>
      <c r="AG65" s="48"/>
      <c r="AH65" s="82"/>
      <c r="AI65" s="48"/>
      <c r="AJ65" s="82"/>
      <c r="AK65" s="48"/>
      <c r="AL65" s="82"/>
      <c r="AM65" s="48" t="s">
        <v>14</v>
      </c>
      <c r="AN65" s="48"/>
      <c r="AO65" s="82"/>
      <c r="AP65" s="48"/>
      <c r="AQ65" s="82"/>
      <c r="AR65" s="48"/>
      <c r="AS65" s="82"/>
      <c r="AT65" s="48"/>
      <c r="AU65" s="82"/>
      <c r="AV65" s="48"/>
      <c r="AW65" s="82"/>
      <c r="AX65" s="48"/>
      <c r="AY65" s="82"/>
      <c r="AZ65" s="48"/>
      <c r="BA65" s="82"/>
      <c r="BB65" s="48"/>
      <c r="BC65" s="82"/>
      <c r="BD65" s="48"/>
      <c r="BE65" s="82"/>
      <c r="BF65" s="82"/>
      <c r="BG65" s="48"/>
      <c r="BH65" s="48"/>
      <c r="BI65" s="48"/>
      <c r="BJ65" s="48"/>
      <c r="BK65" s="48"/>
      <c r="BL65" s="48"/>
      <c r="BM65" s="48"/>
    </row>
    <row r="66" spans="1:65" ht="14.25" x14ac:dyDescent="0.2">
      <c r="A66" s="165" t="s">
        <v>84</v>
      </c>
      <c r="B66" s="48">
        <v>0</v>
      </c>
      <c r="C66" s="48">
        <f>1376+166+52+433</f>
        <v>2027</v>
      </c>
      <c r="D66" s="48"/>
      <c r="E66" s="48">
        <v>0</v>
      </c>
      <c r="F66" s="48">
        <v>0</v>
      </c>
      <c r="H66" s="48">
        <v>0</v>
      </c>
      <c r="I66" s="48"/>
      <c r="J66" s="48">
        <v>0</v>
      </c>
      <c r="K66" s="48">
        <v>0</v>
      </c>
      <c r="L66" s="50">
        <f t="shared" si="12"/>
        <v>0</v>
      </c>
      <c r="M66" s="50">
        <f t="shared" si="11"/>
        <v>0</v>
      </c>
      <c r="N66" s="50">
        <v>0</v>
      </c>
      <c r="O66" s="50">
        <v>0</v>
      </c>
      <c r="P66" s="50">
        <v>0</v>
      </c>
      <c r="Q66" s="50"/>
      <c r="R66" s="50">
        <v>0</v>
      </c>
      <c r="S66" s="50">
        <v>0</v>
      </c>
      <c r="T66" s="50">
        <f t="shared" si="3"/>
        <v>0</v>
      </c>
      <c r="U66" s="82"/>
      <c r="V66" s="82"/>
      <c r="W66" s="82"/>
      <c r="X66" s="82"/>
      <c r="Y66" s="82"/>
      <c r="Z66" s="82"/>
      <c r="AA66" s="48"/>
      <c r="AB66" s="82"/>
      <c r="AC66" s="48"/>
      <c r="AD66" s="82"/>
      <c r="AE66" s="82"/>
      <c r="AF66" s="82"/>
      <c r="AG66" s="48"/>
      <c r="AH66" s="82"/>
      <c r="AI66" s="48"/>
      <c r="AJ66" s="82"/>
      <c r="AK66" s="48"/>
      <c r="AL66" s="82"/>
      <c r="AM66" s="48"/>
      <c r="AN66" s="48"/>
      <c r="AO66" s="82"/>
      <c r="AP66" s="48"/>
      <c r="AQ66" s="82"/>
      <c r="AR66" s="48"/>
      <c r="AS66" s="82"/>
      <c r="AT66" s="48"/>
      <c r="AU66" s="82"/>
      <c r="AV66" s="48"/>
      <c r="AW66" s="82"/>
      <c r="AX66" s="48"/>
      <c r="AY66" s="82"/>
      <c r="AZ66" s="48"/>
      <c r="BA66" s="82"/>
      <c r="BB66" s="48"/>
      <c r="BC66" s="82"/>
      <c r="BD66" s="48"/>
      <c r="BE66" s="82"/>
      <c r="BF66" s="82"/>
      <c r="BG66" s="48"/>
      <c r="BH66" s="48"/>
      <c r="BI66" s="48"/>
      <c r="BJ66" s="48"/>
      <c r="BK66" s="48"/>
      <c r="BL66" s="48"/>
      <c r="BM66" s="48"/>
    </row>
    <row r="67" spans="1:65" ht="14.25" x14ac:dyDescent="0.2">
      <c r="A67" s="165" t="s">
        <v>106</v>
      </c>
      <c r="B67" s="48">
        <v>-5000</v>
      </c>
      <c r="C67" s="48">
        <f>-6738.04</f>
        <v>-6738.04</v>
      </c>
      <c r="D67" s="48"/>
      <c r="E67" s="48">
        <v>-6000</v>
      </c>
      <c r="F67" s="48">
        <v>-3335</v>
      </c>
      <c r="H67" s="48">
        <v>-4000</v>
      </c>
      <c r="I67" s="48">
        <v>-4931</v>
      </c>
      <c r="J67" s="48">
        <v>-4000</v>
      </c>
      <c r="K67" s="48">
        <v>-4170</v>
      </c>
      <c r="L67" s="50">
        <v>-4000</v>
      </c>
      <c r="M67" s="50">
        <v>-4922</v>
      </c>
      <c r="N67" s="50">
        <v>-4500</v>
      </c>
      <c r="O67" s="50">
        <v>-8501.74</v>
      </c>
      <c r="P67" s="50">
        <v>-15000</v>
      </c>
      <c r="Q67" s="50">
        <v>-59299</v>
      </c>
      <c r="R67" s="50">
        <v>-35000</v>
      </c>
      <c r="S67" s="50">
        <v>-35580.43</v>
      </c>
      <c r="T67" s="50">
        <f t="shared" si="3"/>
        <v>-22000</v>
      </c>
      <c r="U67" s="82">
        <v>-22000</v>
      </c>
      <c r="V67" s="82"/>
      <c r="W67" s="82"/>
      <c r="X67" s="82"/>
      <c r="Y67" s="82"/>
      <c r="Z67" s="82"/>
      <c r="AA67" s="48"/>
      <c r="AB67" s="82"/>
      <c r="AC67" s="48"/>
      <c r="AD67" s="82"/>
      <c r="AE67" s="82"/>
      <c r="AF67" s="82"/>
      <c r="AG67" s="48"/>
      <c r="AH67" s="82"/>
      <c r="AI67" s="48"/>
      <c r="AJ67" s="82"/>
      <c r="AK67" s="48"/>
      <c r="AL67" s="82"/>
      <c r="AM67" s="48"/>
      <c r="AN67" s="48"/>
      <c r="AO67" s="82"/>
      <c r="AP67" s="48"/>
      <c r="AQ67" s="82"/>
      <c r="AR67" s="48"/>
      <c r="AS67" s="82"/>
      <c r="AT67" s="48"/>
      <c r="AU67" s="82"/>
      <c r="AV67" s="48"/>
      <c r="AW67" s="82"/>
      <c r="AX67" s="48"/>
      <c r="AY67" s="82"/>
      <c r="AZ67" s="48"/>
      <c r="BA67" s="82"/>
      <c r="BB67" s="48"/>
      <c r="BC67" s="82"/>
      <c r="BD67" s="48"/>
      <c r="BE67" s="82"/>
      <c r="BF67" s="82"/>
      <c r="BG67" s="48"/>
      <c r="BH67" s="48"/>
      <c r="BI67" s="48"/>
      <c r="BJ67" s="48"/>
      <c r="BK67" s="48"/>
      <c r="BL67" s="48"/>
      <c r="BM67" s="48"/>
    </row>
    <row r="68" spans="1:65" ht="14.25" x14ac:dyDescent="0.2">
      <c r="A68" s="165" t="s">
        <v>110</v>
      </c>
      <c r="B68" s="48">
        <v>1000</v>
      </c>
      <c r="C68" s="48">
        <v>1000</v>
      </c>
      <c r="D68" s="48"/>
      <c r="E68" s="48">
        <v>1000</v>
      </c>
      <c r="F68" s="48">
        <v>1000</v>
      </c>
      <c r="H68" s="48">
        <v>1000</v>
      </c>
      <c r="I68" s="48"/>
      <c r="J68" s="48">
        <v>1000</v>
      </c>
      <c r="K68" s="48"/>
      <c r="L68" s="50">
        <f t="shared" si="12"/>
        <v>0</v>
      </c>
      <c r="M68" s="50">
        <f t="shared" si="11"/>
        <v>0</v>
      </c>
      <c r="N68" s="50">
        <v>0</v>
      </c>
      <c r="O68" s="50">
        <v>0</v>
      </c>
      <c r="P68" s="50">
        <v>0</v>
      </c>
      <c r="Q68" s="50"/>
      <c r="R68" s="50">
        <v>0</v>
      </c>
      <c r="S68" s="50">
        <v>0</v>
      </c>
      <c r="T68" s="50">
        <f t="shared" si="3"/>
        <v>0</v>
      </c>
      <c r="U68" s="82" t="s">
        <v>14</v>
      </c>
      <c r="V68" s="82"/>
      <c r="W68" s="82"/>
      <c r="X68" s="82"/>
      <c r="Y68" s="82"/>
      <c r="Z68" s="82"/>
      <c r="AA68" s="48"/>
      <c r="AB68" s="82"/>
      <c r="AC68" s="48"/>
      <c r="AD68" s="82"/>
      <c r="AE68" s="82"/>
      <c r="AF68" s="82"/>
      <c r="AG68" s="48"/>
      <c r="AH68" s="82"/>
      <c r="AI68" s="48"/>
      <c r="AJ68" s="82"/>
      <c r="AK68" s="48"/>
      <c r="AL68" s="82"/>
      <c r="AM68" s="48"/>
      <c r="AN68" s="48"/>
      <c r="AO68" s="82"/>
      <c r="AP68" s="48"/>
      <c r="AQ68" s="82"/>
      <c r="AR68" s="48"/>
      <c r="AS68" s="82"/>
      <c r="AT68" s="48"/>
      <c r="AU68" s="82"/>
      <c r="AV68" s="48"/>
      <c r="AW68" s="82"/>
      <c r="AX68" s="48"/>
      <c r="AY68" s="82"/>
      <c r="AZ68" s="48"/>
      <c r="BA68" s="82"/>
      <c r="BB68" s="48"/>
      <c r="BC68" s="82"/>
      <c r="BD68" s="48"/>
      <c r="BE68" s="82"/>
      <c r="BF68" s="82"/>
      <c r="BG68" s="48"/>
      <c r="BH68" s="48"/>
      <c r="BI68" s="48"/>
      <c r="BJ68" s="48"/>
      <c r="BK68" s="48"/>
      <c r="BL68" s="48"/>
      <c r="BM68" s="48"/>
    </row>
    <row r="69" spans="1:65" ht="14.25" x14ac:dyDescent="0.2">
      <c r="A69" s="165" t="s">
        <v>118</v>
      </c>
      <c r="B69" s="48">
        <v>0</v>
      </c>
      <c r="C69" s="48">
        <v>1500</v>
      </c>
      <c r="D69" s="48"/>
      <c r="E69" s="48">
        <v>3000</v>
      </c>
      <c r="F69" s="48">
        <v>0</v>
      </c>
      <c r="H69" s="48">
        <v>3000</v>
      </c>
      <c r="I69" s="48"/>
      <c r="J69" s="48">
        <v>3000</v>
      </c>
      <c r="K69" s="48"/>
      <c r="L69" s="50">
        <f t="shared" si="12"/>
        <v>0</v>
      </c>
      <c r="M69" s="50">
        <f t="shared" si="11"/>
        <v>0</v>
      </c>
      <c r="N69" s="50">
        <v>0</v>
      </c>
      <c r="O69" s="50">
        <v>0</v>
      </c>
      <c r="P69" s="50">
        <v>0</v>
      </c>
      <c r="Q69" s="50"/>
      <c r="R69" s="50">
        <v>0</v>
      </c>
      <c r="S69" s="50">
        <v>0</v>
      </c>
      <c r="T69" s="50">
        <f t="shared" si="3"/>
        <v>0</v>
      </c>
      <c r="U69" s="82" t="s">
        <v>14</v>
      </c>
      <c r="V69" s="82"/>
      <c r="W69" s="82"/>
      <c r="X69" s="82"/>
      <c r="Y69" s="82"/>
      <c r="Z69" s="82"/>
      <c r="AA69" s="48"/>
      <c r="AB69" s="82"/>
      <c r="AC69" s="48"/>
      <c r="AD69" s="82"/>
      <c r="AE69" s="82"/>
      <c r="AF69" s="82"/>
      <c r="AG69" s="48"/>
      <c r="AH69" s="82"/>
      <c r="AI69" s="48"/>
      <c r="AJ69" s="82"/>
      <c r="AK69" s="48"/>
      <c r="AL69" s="82"/>
      <c r="AM69" s="48"/>
      <c r="AN69" s="48"/>
      <c r="AO69" s="82"/>
      <c r="AP69" s="48"/>
      <c r="AQ69" s="82"/>
      <c r="AR69" s="48"/>
      <c r="AS69" s="82"/>
      <c r="AT69" s="48"/>
      <c r="AU69" s="82"/>
      <c r="AV69" s="48"/>
      <c r="AW69" s="82"/>
      <c r="AX69" s="48"/>
      <c r="AY69" s="82"/>
      <c r="AZ69" s="48"/>
      <c r="BA69" s="82"/>
      <c r="BB69" s="48"/>
      <c r="BC69" s="82"/>
      <c r="BD69" s="48"/>
      <c r="BE69" s="82"/>
      <c r="BF69" s="82"/>
      <c r="BG69" s="48"/>
      <c r="BH69" s="48"/>
      <c r="BI69" s="48"/>
      <c r="BJ69" s="48"/>
      <c r="BK69" s="48"/>
      <c r="BL69" s="48"/>
      <c r="BM69" s="48"/>
    </row>
    <row r="70" spans="1:65" ht="14.25" x14ac:dyDescent="0.2">
      <c r="A70" s="166" t="s">
        <v>119</v>
      </c>
      <c r="B70" s="67">
        <v>0</v>
      </c>
      <c r="C70" s="67">
        <v>0</v>
      </c>
      <c r="D70" s="68"/>
      <c r="E70" s="67">
        <v>3000</v>
      </c>
      <c r="F70" s="67">
        <v>0</v>
      </c>
      <c r="G70" s="3"/>
      <c r="H70" s="67">
        <v>3000</v>
      </c>
      <c r="I70" s="67">
        <f t="shared" ref="I70" si="13">SUM(V70:BG70)</f>
        <v>0</v>
      </c>
      <c r="J70" s="67">
        <v>3000</v>
      </c>
      <c r="K70" s="67">
        <f t="shared" ref="K70" si="14">SUM(X70:BI70)</f>
        <v>0</v>
      </c>
      <c r="L70" s="67">
        <f t="shared" si="12"/>
        <v>0</v>
      </c>
      <c r="M70" s="67">
        <f>SUM(V70:BG70)</f>
        <v>0</v>
      </c>
      <c r="N70" s="50">
        <v>0</v>
      </c>
      <c r="O70" s="50">
        <v>0</v>
      </c>
      <c r="P70" s="50">
        <v>0</v>
      </c>
      <c r="Q70" s="50"/>
      <c r="R70" s="50">
        <v>0</v>
      </c>
      <c r="S70" s="50">
        <v>0</v>
      </c>
      <c r="T70" s="50">
        <f t="shared" si="3"/>
        <v>0</v>
      </c>
      <c r="U70" s="83" t="s">
        <v>14</v>
      </c>
      <c r="V70" s="83"/>
      <c r="W70" s="83"/>
      <c r="X70" s="83"/>
      <c r="Y70" s="83"/>
      <c r="Z70" s="83"/>
      <c r="AA70" s="67"/>
      <c r="AB70" s="83"/>
      <c r="AC70" s="67"/>
      <c r="AD70" s="83"/>
      <c r="AE70" s="83"/>
      <c r="AF70" s="83"/>
      <c r="AG70" s="67"/>
      <c r="AH70" s="83"/>
      <c r="AI70" s="67"/>
      <c r="AJ70" s="83"/>
      <c r="AK70" s="67"/>
      <c r="AL70" s="83"/>
      <c r="AM70" s="67"/>
      <c r="AN70" s="67"/>
      <c r="AO70" s="83"/>
      <c r="AP70" s="67"/>
      <c r="AQ70" s="83"/>
      <c r="AR70" s="67"/>
      <c r="AS70" s="83"/>
      <c r="AT70" s="67"/>
      <c r="AU70" s="83"/>
      <c r="AV70" s="67"/>
      <c r="AW70" s="83"/>
      <c r="AX70" s="67"/>
      <c r="AY70" s="83"/>
      <c r="AZ70" s="67"/>
      <c r="BA70" s="83"/>
      <c r="BB70" s="67"/>
      <c r="BC70" s="83"/>
      <c r="BD70" s="67"/>
      <c r="BE70" s="83"/>
      <c r="BF70" s="83"/>
      <c r="BG70" s="48"/>
      <c r="BH70" s="48"/>
      <c r="BI70" s="48"/>
      <c r="BJ70" s="48"/>
      <c r="BK70" s="48"/>
      <c r="BL70" s="48"/>
      <c r="BM70" s="48"/>
    </row>
    <row r="71" spans="1:65" s="1" customFormat="1" x14ac:dyDescent="0.2">
      <c r="A71" s="1" t="s">
        <v>32</v>
      </c>
      <c r="B71" s="49">
        <f>SUM(B29:B70)</f>
        <v>920400</v>
      </c>
      <c r="C71" s="49">
        <f>SUM(C29:C70)</f>
        <v>869656.54999999993</v>
      </c>
      <c r="D71" s="49"/>
      <c r="E71" s="49">
        <f>SUM(E29:E70)</f>
        <v>818350</v>
      </c>
      <c r="F71" s="49">
        <f>SUM(F29:F70)</f>
        <v>731743</v>
      </c>
      <c r="H71" s="49">
        <f t="shared" ref="H71:L71" si="15">SUM(H29:H70)</f>
        <v>808050</v>
      </c>
      <c r="I71" s="49">
        <f t="shared" si="15"/>
        <v>513537</v>
      </c>
      <c r="J71" s="49">
        <f t="shared" si="15"/>
        <v>910650</v>
      </c>
      <c r="K71" s="49">
        <f t="shared" si="15"/>
        <v>152193</v>
      </c>
      <c r="L71" s="89">
        <f t="shared" si="15"/>
        <v>837650</v>
      </c>
      <c r="M71" s="89">
        <f>SUM(M28:M70)</f>
        <v>410602</v>
      </c>
      <c r="N71" s="89">
        <f>SUM(N28:N70)</f>
        <v>1175300</v>
      </c>
      <c r="O71" s="89">
        <f>SUM(O28:O70)</f>
        <v>1010087.0399999999</v>
      </c>
      <c r="P71" s="89">
        <v>1124450</v>
      </c>
      <c r="Q71" s="89">
        <f>SUM(Q28:Q70)</f>
        <v>865981</v>
      </c>
      <c r="R71" s="89">
        <f>SUM(R28:R70)</f>
        <v>970750</v>
      </c>
      <c r="S71" s="89">
        <f>SUM(S28:S70)</f>
        <v>816481.57</v>
      </c>
      <c r="T71" s="89">
        <f>SUM(T28:T70)</f>
        <v>1195310</v>
      </c>
      <c r="U71" s="89">
        <f>SUM(U28:U70)</f>
        <v>49000</v>
      </c>
      <c r="V71" s="89">
        <f t="shared" ref="V71:BF71" si="16">SUM(V29:V70)</f>
        <v>2000</v>
      </c>
      <c r="W71" s="89">
        <f t="shared" si="16"/>
        <v>65000</v>
      </c>
      <c r="X71" s="89">
        <f t="shared" si="16"/>
        <v>0</v>
      </c>
      <c r="Y71" s="89">
        <f t="shared" si="16"/>
        <v>0</v>
      </c>
      <c r="Z71" s="89">
        <f t="shared" si="16"/>
        <v>5000</v>
      </c>
      <c r="AA71" s="89">
        <f t="shared" si="16"/>
        <v>18000</v>
      </c>
      <c r="AB71" s="89">
        <f t="shared" si="16"/>
        <v>11000</v>
      </c>
      <c r="AC71" s="89">
        <f t="shared" si="16"/>
        <v>0</v>
      </c>
      <c r="AD71" s="89">
        <f t="shared" si="16"/>
        <v>0</v>
      </c>
      <c r="AE71" s="89">
        <f t="shared" si="16"/>
        <v>6000</v>
      </c>
      <c r="AF71" s="89">
        <f t="shared" si="16"/>
        <v>0</v>
      </c>
      <c r="AG71" s="89">
        <f t="shared" si="16"/>
        <v>150000</v>
      </c>
      <c r="AH71" s="89">
        <f t="shared" si="16"/>
        <v>0</v>
      </c>
      <c r="AI71" s="89">
        <f t="shared" si="16"/>
        <v>10000</v>
      </c>
      <c r="AJ71" s="89">
        <f t="shared" si="16"/>
        <v>274530</v>
      </c>
      <c r="AK71" s="89">
        <f>SUM(AK29:AK70)</f>
        <v>38000</v>
      </c>
      <c r="AL71" s="89">
        <f t="shared" si="16"/>
        <v>74000</v>
      </c>
      <c r="AM71" s="89">
        <f t="shared" si="16"/>
        <v>21750</v>
      </c>
      <c r="AN71" s="89">
        <f t="shared" ref="AN71" si="17">SUM(AN29:AN70)</f>
        <v>105840</v>
      </c>
      <c r="AO71" s="89">
        <f t="shared" si="16"/>
        <v>0</v>
      </c>
      <c r="AP71" s="92">
        <f t="shared" si="16"/>
        <v>109410</v>
      </c>
      <c r="AQ71" s="89">
        <f t="shared" si="16"/>
        <v>0</v>
      </c>
      <c r="AR71" s="89">
        <f t="shared" si="16"/>
        <v>78500</v>
      </c>
      <c r="AS71" s="89">
        <f t="shared" si="16"/>
        <v>64500</v>
      </c>
      <c r="AT71" s="89">
        <f t="shared" si="16"/>
        <v>16400</v>
      </c>
      <c r="AU71" s="89">
        <f t="shared" si="16"/>
        <v>12500</v>
      </c>
      <c r="AV71" s="89">
        <f t="shared" si="16"/>
        <v>21500</v>
      </c>
      <c r="AW71" s="89">
        <f t="shared" si="16"/>
        <v>2500</v>
      </c>
      <c r="AX71" s="89">
        <f t="shared" si="16"/>
        <v>28520</v>
      </c>
      <c r="AY71" s="89">
        <f t="shared" si="16"/>
        <v>18780</v>
      </c>
      <c r="AZ71" s="89">
        <f>SUM(AZ29:AZ70)</f>
        <v>12580</v>
      </c>
      <c r="BA71" s="89">
        <f t="shared" si="16"/>
        <v>0</v>
      </c>
      <c r="BB71" s="89">
        <f t="shared" si="16"/>
        <v>0</v>
      </c>
      <c r="BC71" s="89">
        <f t="shared" si="16"/>
        <v>0</v>
      </c>
      <c r="BD71" s="92">
        <f t="shared" si="16"/>
        <v>0</v>
      </c>
      <c r="BE71" s="92">
        <f t="shared" si="16"/>
        <v>0</v>
      </c>
      <c r="BF71" s="89">
        <f t="shared" si="16"/>
        <v>0</v>
      </c>
      <c r="BG71" s="49"/>
      <c r="BH71" s="49"/>
      <c r="BI71" s="49"/>
      <c r="BJ71" s="49"/>
      <c r="BK71" s="49"/>
      <c r="BL71" s="49"/>
      <c r="BM71" s="49"/>
    </row>
    <row r="72" spans="1:65" x14ac:dyDescent="0.2">
      <c r="B72" s="48"/>
      <c r="C72" s="65"/>
      <c r="D72" s="48"/>
      <c r="E72" s="48"/>
      <c r="F72" s="65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50">
        <f t="shared" ref="T72" si="18">SUM(U72:BF72)</f>
        <v>0</v>
      </c>
      <c r="U72" s="82"/>
      <c r="V72" s="82"/>
      <c r="W72" s="82"/>
      <c r="X72" s="82"/>
      <c r="Y72" s="82"/>
      <c r="Z72" s="82"/>
      <c r="AA72" s="48"/>
      <c r="AB72" s="82"/>
      <c r="AC72" s="48"/>
      <c r="AD72" s="82"/>
      <c r="AE72" s="82"/>
      <c r="AF72" s="82"/>
      <c r="AG72" s="48"/>
      <c r="AH72" s="82"/>
      <c r="AI72" s="48"/>
      <c r="AJ72" s="82"/>
      <c r="AK72" s="48"/>
      <c r="AL72" s="82"/>
      <c r="AM72" s="48"/>
      <c r="AN72" s="48"/>
      <c r="AO72" s="82"/>
      <c r="AP72" s="48"/>
      <c r="AQ72" s="82"/>
      <c r="AR72" s="48"/>
      <c r="AS72" s="82"/>
      <c r="AT72" s="48"/>
      <c r="AU72" s="82"/>
      <c r="AV72" s="48"/>
      <c r="AW72" s="82"/>
      <c r="AX72" s="48"/>
      <c r="AY72" s="82"/>
      <c r="AZ72" s="48"/>
      <c r="BA72" s="82"/>
      <c r="BB72" s="48"/>
      <c r="BC72" s="82"/>
      <c r="BD72" s="48"/>
      <c r="BE72" s="82"/>
      <c r="BF72" s="82"/>
      <c r="BG72" s="48"/>
      <c r="BH72" s="48"/>
      <c r="BI72" s="48"/>
      <c r="BJ72" s="48"/>
      <c r="BK72" s="48"/>
      <c r="BL72" s="48"/>
      <c r="BM72" s="48"/>
    </row>
    <row r="73" spans="1:65" s="4" customFormat="1" ht="12" x14ac:dyDescent="0.2">
      <c r="A73" s="4" t="s">
        <v>5</v>
      </c>
      <c r="B73" s="62">
        <f>SUM(B26-B71)</f>
        <v>-158000</v>
      </c>
      <c r="C73" s="62">
        <f>SUM(C26-C71)</f>
        <v>-147534.60999999999</v>
      </c>
      <c r="D73" s="62"/>
      <c r="E73" s="62">
        <f>SUM(E26-E71)</f>
        <v>-102000</v>
      </c>
      <c r="F73" s="62">
        <f>SUM(F26-F71)</f>
        <v>-46858</v>
      </c>
      <c r="H73" s="62">
        <f>SUM(H26-H71)</f>
        <v>-91000</v>
      </c>
      <c r="I73" s="62">
        <f>SUM(I26-I71)</f>
        <v>156975</v>
      </c>
      <c r="J73" s="62">
        <f>SUM(J26-J71)</f>
        <v>-231600</v>
      </c>
      <c r="K73" s="62">
        <f>SUM(K26-K71)</f>
        <v>186054</v>
      </c>
      <c r="L73" s="90">
        <f t="shared" ref="L73:BF73" si="19">L26-L71</f>
        <v>-85630</v>
      </c>
      <c r="M73" s="90">
        <f t="shared" ref="M73:T73" si="20">M26-M71</f>
        <v>-116469</v>
      </c>
      <c r="N73" s="90">
        <f t="shared" si="20"/>
        <v>-546550</v>
      </c>
      <c r="O73" s="90">
        <f t="shared" si="20"/>
        <v>-352614.03999999992</v>
      </c>
      <c r="P73" s="90">
        <v>-196450</v>
      </c>
      <c r="Q73" s="90">
        <f t="shared" si="20"/>
        <v>-165338</v>
      </c>
      <c r="R73" s="90">
        <f t="shared" si="20"/>
        <v>-252250</v>
      </c>
      <c r="S73" s="90">
        <f t="shared" si="20"/>
        <v>-143899.06999999995</v>
      </c>
      <c r="T73" s="90">
        <f t="shared" si="20"/>
        <v>-289790</v>
      </c>
      <c r="U73" s="90">
        <f t="shared" si="19"/>
        <v>308000</v>
      </c>
      <c r="V73" s="90">
        <f t="shared" si="19"/>
        <v>-2000</v>
      </c>
      <c r="W73" s="90">
        <f t="shared" si="19"/>
        <v>-65000</v>
      </c>
      <c r="X73" s="90">
        <f t="shared" si="19"/>
        <v>0</v>
      </c>
      <c r="Y73" s="90">
        <f t="shared" si="19"/>
        <v>0</v>
      </c>
      <c r="Z73" s="90">
        <f t="shared" si="19"/>
        <v>-5000</v>
      </c>
      <c r="AA73" s="90">
        <f t="shared" si="19"/>
        <v>-3000</v>
      </c>
      <c r="AB73" s="90">
        <f t="shared" si="19"/>
        <v>0</v>
      </c>
      <c r="AC73" s="90">
        <f t="shared" si="19"/>
        <v>0</v>
      </c>
      <c r="AD73" s="90">
        <f t="shared" si="19"/>
        <v>0</v>
      </c>
      <c r="AE73" s="90">
        <f t="shared" si="19"/>
        <v>-3000</v>
      </c>
      <c r="AF73" s="90">
        <f t="shared" si="19"/>
        <v>0</v>
      </c>
      <c r="AG73" s="90">
        <f t="shared" si="19"/>
        <v>-150000</v>
      </c>
      <c r="AH73" s="90">
        <f t="shared" si="19"/>
        <v>0</v>
      </c>
      <c r="AI73" s="90">
        <f t="shared" si="19"/>
        <v>-10000</v>
      </c>
      <c r="AJ73" s="90">
        <f t="shared" si="19"/>
        <v>-174030</v>
      </c>
      <c r="AK73" s="90">
        <f t="shared" si="19"/>
        <v>-22200</v>
      </c>
      <c r="AL73" s="90">
        <f t="shared" si="19"/>
        <v>-20000</v>
      </c>
      <c r="AM73" s="90">
        <f t="shared" si="19"/>
        <v>-14750</v>
      </c>
      <c r="AN73" s="90">
        <f t="shared" ref="AN73" si="21">AN26-AN71</f>
        <v>-12720</v>
      </c>
      <c r="AO73" s="90">
        <f t="shared" si="19"/>
        <v>0</v>
      </c>
      <c r="AP73" s="93">
        <f t="shared" si="19"/>
        <v>-33210</v>
      </c>
      <c r="AQ73" s="90">
        <f t="shared" si="19"/>
        <v>0</v>
      </c>
      <c r="AR73" s="90">
        <f t="shared" si="19"/>
        <v>-36500</v>
      </c>
      <c r="AS73" s="90">
        <f t="shared" si="19"/>
        <v>15500</v>
      </c>
      <c r="AT73" s="90">
        <f t="shared" si="19"/>
        <v>-3900</v>
      </c>
      <c r="AU73" s="90">
        <f t="shared" si="19"/>
        <v>-12500</v>
      </c>
      <c r="AV73" s="90">
        <f t="shared" si="19"/>
        <v>-21500</v>
      </c>
      <c r="AW73" s="90">
        <f t="shared" si="19"/>
        <v>-2500</v>
      </c>
      <c r="AX73" s="90">
        <f t="shared" si="19"/>
        <v>-9320</v>
      </c>
      <c r="AY73" s="90">
        <f t="shared" si="19"/>
        <v>-4380</v>
      </c>
      <c r="AZ73" s="90">
        <f t="shared" si="19"/>
        <v>-7780</v>
      </c>
      <c r="BA73" s="90">
        <f t="shared" si="19"/>
        <v>0</v>
      </c>
      <c r="BB73" s="90">
        <f t="shared" si="19"/>
        <v>0</v>
      </c>
      <c r="BC73" s="90">
        <f t="shared" si="19"/>
        <v>0</v>
      </c>
      <c r="BD73" s="93">
        <f t="shared" si="19"/>
        <v>0</v>
      </c>
      <c r="BE73" s="93">
        <f t="shared" si="19"/>
        <v>0</v>
      </c>
      <c r="BF73" s="90">
        <f t="shared" si="19"/>
        <v>0</v>
      </c>
      <c r="BG73" s="62"/>
      <c r="BH73" s="62"/>
      <c r="BI73" s="62"/>
      <c r="BJ73" s="62"/>
      <c r="BK73" s="62"/>
      <c r="BL73" s="62"/>
      <c r="BM73" s="62"/>
    </row>
    <row r="74" spans="1:65" ht="108" x14ac:dyDescent="0.2">
      <c r="C74" s="2"/>
      <c r="S74" s="48"/>
      <c r="T74" s="48"/>
      <c r="U74" s="88" t="s">
        <v>192</v>
      </c>
      <c r="V74" s="88" t="s">
        <v>121</v>
      </c>
      <c r="W74" s="88" t="s">
        <v>122</v>
      </c>
      <c r="X74" s="88" t="s">
        <v>123</v>
      </c>
      <c r="Y74" s="88" t="s">
        <v>165</v>
      </c>
      <c r="Z74" s="95" t="s">
        <v>124</v>
      </c>
      <c r="AA74" s="95" t="s">
        <v>125</v>
      </c>
      <c r="AB74" s="95" t="s">
        <v>126</v>
      </c>
      <c r="AC74" s="95" t="s">
        <v>127</v>
      </c>
      <c r="AD74" s="95" t="s">
        <v>128</v>
      </c>
      <c r="AE74" s="95" t="s">
        <v>162</v>
      </c>
      <c r="AF74" s="151" t="s">
        <v>129</v>
      </c>
      <c r="AG74" s="151" t="s">
        <v>130</v>
      </c>
      <c r="AH74" s="151" t="s">
        <v>195</v>
      </c>
      <c r="AI74" s="94" t="s">
        <v>131</v>
      </c>
      <c r="AJ74" s="94" t="s">
        <v>132</v>
      </c>
      <c r="AK74" s="94" t="s">
        <v>133</v>
      </c>
      <c r="AL74" s="94" t="s">
        <v>134</v>
      </c>
      <c r="AM74" s="94" t="s">
        <v>135</v>
      </c>
      <c r="AN74" s="94" t="s">
        <v>211</v>
      </c>
      <c r="AO74" s="94" t="s">
        <v>194</v>
      </c>
      <c r="AP74" s="94" t="s">
        <v>223</v>
      </c>
      <c r="AQ74" s="88" t="s">
        <v>136</v>
      </c>
      <c r="AR74" s="88" t="s">
        <v>137</v>
      </c>
      <c r="AS74" s="88" t="s">
        <v>138</v>
      </c>
      <c r="AT74" s="88" t="s">
        <v>139</v>
      </c>
      <c r="AU74" s="88" t="s">
        <v>141</v>
      </c>
      <c r="AV74" s="88" t="s">
        <v>140</v>
      </c>
      <c r="AW74" s="95" t="s">
        <v>142</v>
      </c>
      <c r="AX74" s="95" t="s">
        <v>217</v>
      </c>
      <c r="AY74" s="95" t="s">
        <v>218</v>
      </c>
      <c r="AZ74" s="95" t="s">
        <v>143</v>
      </c>
      <c r="BA74" s="95" t="s">
        <v>144</v>
      </c>
      <c r="BB74" s="95" t="s">
        <v>145</v>
      </c>
      <c r="BC74" s="95" t="s">
        <v>146</v>
      </c>
      <c r="BD74" s="95" t="s">
        <v>147</v>
      </c>
      <c r="BE74" s="95" t="s">
        <v>172</v>
      </c>
      <c r="BF74" s="95" t="s">
        <v>148</v>
      </c>
      <c r="BG74" s="48"/>
      <c r="BH74" s="48"/>
      <c r="BI74" s="48"/>
      <c r="BJ74" s="48"/>
      <c r="BK74" s="48"/>
      <c r="BL74" s="48"/>
      <c r="BM74" s="48"/>
    </row>
    <row r="75" spans="1:65" x14ac:dyDescent="0.2">
      <c r="A75" s="185" t="s">
        <v>220</v>
      </c>
      <c r="B75" s="185"/>
      <c r="C75" s="185"/>
      <c r="D75" s="185"/>
      <c r="E75" s="185"/>
      <c r="F75" s="185"/>
      <c r="G75" s="185"/>
      <c r="H75" s="185"/>
      <c r="I75" s="121"/>
      <c r="J75" s="121"/>
      <c r="S75" s="48"/>
      <c r="T75" s="48"/>
      <c r="U75" s="48">
        <v>324500</v>
      </c>
      <c r="V75" s="48">
        <v>-1195</v>
      </c>
      <c r="W75" s="48">
        <v>-59597</v>
      </c>
      <c r="X75" s="48">
        <v>0</v>
      </c>
      <c r="Y75" s="48">
        <v>0</v>
      </c>
      <c r="Z75" s="48">
        <v>0</v>
      </c>
      <c r="AA75" s="48">
        <v>-3188</v>
      </c>
      <c r="AB75" s="48">
        <v>2894</v>
      </c>
      <c r="AC75" s="48">
        <v>0</v>
      </c>
      <c r="AD75" s="48">
        <v>0</v>
      </c>
      <c r="AE75" s="48">
        <v>0</v>
      </c>
      <c r="AF75" s="48">
        <v>0</v>
      </c>
      <c r="AG75" s="48">
        <v>-19840</v>
      </c>
      <c r="AH75" s="48">
        <v>0</v>
      </c>
      <c r="AI75" s="48">
        <v>-7336</v>
      </c>
      <c r="AJ75" s="48">
        <v>-91668</v>
      </c>
      <c r="AK75" s="48">
        <v>-33108</v>
      </c>
      <c r="AL75" s="48">
        <v>-69771</v>
      </c>
      <c r="AM75" s="48">
        <v>-13269</v>
      </c>
      <c r="AN75" s="48">
        <v>0</v>
      </c>
      <c r="AO75" s="48">
        <v>0</v>
      </c>
      <c r="AP75" s="48">
        <v>-53424</v>
      </c>
      <c r="AQ75" s="48">
        <v>0</v>
      </c>
      <c r="AR75" s="48">
        <v>-7832</v>
      </c>
      <c r="AS75" s="48">
        <v>-50079</v>
      </c>
      <c r="AT75" s="48">
        <v>-4889</v>
      </c>
      <c r="AU75" s="48">
        <v>-12500</v>
      </c>
      <c r="AV75" s="48">
        <v>-35931</v>
      </c>
      <c r="AW75" s="48">
        <v>0</v>
      </c>
      <c r="AX75" s="48">
        <v>-30652</v>
      </c>
      <c r="AY75" s="48">
        <v>0</v>
      </c>
      <c r="AZ75" s="48">
        <v>0</v>
      </c>
      <c r="BA75" s="48">
        <v>-8000</v>
      </c>
      <c r="BB75" s="48">
        <v>0</v>
      </c>
      <c r="BC75" s="48">
        <v>0</v>
      </c>
      <c r="BD75" s="48">
        <v>8636</v>
      </c>
      <c r="BE75" s="48">
        <v>0</v>
      </c>
      <c r="BF75" s="48">
        <v>-2863</v>
      </c>
      <c r="BG75" s="48"/>
      <c r="BH75" s="48"/>
      <c r="BI75" s="48"/>
      <c r="BJ75" s="48"/>
      <c r="BK75" s="48"/>
      <c r="BL75" s="48"/>
      <c r="BM75" s="48"/>
    </row>
    <row r="76" spans="1:65" x14ac:dyDescent="0.2"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</row>
    <row r="77" spans="1:65" x14ac:dyDescent="0.2">
      <c r="S77" s="48"/>
      <c r="T77" s="48"/>
    </row>
    <row r="78" spans="1:65" x14ac:dyDescent="0.2">
      <c r="B78" s="18"/>
      <c r="C78" s="19"/>
      <c r="E78" s="18"/>
      <c r="F78" s="19"/>
      <c r="S78" s="48"/>
      <c r="T78" s="48"/>
    </row>
    <row r="79" spans="1:65" x14ac:dyDescent="0.2">
      <c r="S79" s="48"/>
      <c r="T79" s="48"/>
    </row>
    <row r="80" spans="1:65" x14ac:dyDescent="0.2">
      <c r="T80" s="48"/>
    </row>
    <row r="81" spans="1:42" x14ac:dyDescent="0.2">
      <c r="H81" s="55"/>
      <c r="I81" s="55"/>
      <c r="J81" s="55"/>
      <c r="T81" s="48"/>
      <c r="AP81" s="2" t="s">
        <v>14</v>
      </c>
    </row>
    <row r="82" spans="1:42" x14ac:dyDescent="0.2">
      <c r="H82" s="55"/>
      <c r="I82" s="55"/>
      <c r="J82" s="55"/>
      <c r="T82" s="48"/>
    </row>
    <row r="83" spans="1:42" x14ac:dyDescent="0.2">
      <c r="H83" s="55"/>
      <c r="I83" s="55"/>
      <c r="J83" s="55"/>
      <c r="T83" s="48"/>
    </row>
    <row r="84" spans="1:42" x14ac:dyDescent="0.2">
      <c r="H84" s="55"/>
      <c r="I84" s="55"/>
      <c r="J84" s="55"/>
      <c r="T84" s="48"/>
    </row>
    <row r="85" spans="1:42" x14ac:dyDescent="0.2">
      <c r="A85" s="5" t="s">
        <v>14</v>
      </c>
      <c r="H85" s="55"/>
      <c r="I85" s="55"/>
      <c r="J85" s="55"/>
    </row>
  </sheetData>
  <mergeCells count="1">
    <mergeCell ref="A75:H75"/>
  </mergeCells>
  <printOptions gridLines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Footer>&amp;L&amp;Z&amp;F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8"/>
  <sheetViews>
    <sheetView zoomScale="130" zoomScaleNormal="130" workbookViewId="0">
      <selection activeCell="A6" sqref="A6"/>
    </sheetView>
  </sheetViews>
  <sheetFormatPr defaultColWidth="8.88671875" defaultRowHeight="11.25" x14ac:dyDescent="0.2"/>
  <cols>
    <col min="1" max="1" width="11.6640625" style="2" bestFit="1" customWidth="1"/>
    <col min="2" max="2" width="8.44140625" style="2" bestFit="1" customWidth="1"/>
    <col min="3" max="3" width="7" style="2" customWidth="1"/>
    <col min="4" max="4" width="4.77734375" style="2" customWidth="1"/>
    <col min="5" max="5" width="8.5546875" style="2" bestFit="1" customWidth="1"/>
    <col min="6" max="6" width="10" style="7" customWidth="1"/>
    <col min="7" max="7" width="4.109375" style="2" customWidth="1"/>
    <col min="8" max="8" width="8.44140625" style="2" bestFit="1" customWidth="1"/>
    <col min="9" max="9" width="12.88671875" style="2" customWidth="1"/>
    <col min="10" max="10" width="8.21875" style="2" bestFit="1" customWidth="1"/>
    <col min="11" max="11" width="10.5546875" style="2" customWidth="1"/>
    <col min="12" max="12" width="10.88671875" style="2" customWidth="1"/>
    <col min="13" max="16384" width="8.88671875" style="2"/>
  </cols>
  <sheetData>
    <row r="1" spans="1:18" s="4" customFormat="1" ht="12" x14ac:dyDescent="0.2">
      <c r="A1" s="4" t="s">
        <v>33</v>
      </c>
      <c r="F1" s="6"/>
      <c r="I1" s="1"/>
    </row>
    <row r="2" spans="1:18" x14ac:dyDescent="0.2">
      <c r="A2" s="2" t="s">
        <v>14</v>
      </c>
    </row>
    <row r="3" spans="1:18" x14ac:dyDescent="0.2">
      <c r="A3" s="1" t="s">
        <v>15</v>
      </c>
    </row>
    <row r="4" spans="1:18" x14ac:dyDescent="0.2">
      <c r="B4" s="1" t="s">
        <v>151</v>
      </c>
      <c r="C4" s="142" t="s">
        <v>188</v>
      </c>
      <c r="D4" s="1"/>
      <c r="E4" s="1" t="s">
        <v>167</v>
      </c>
      <c r="F4" s="84" t="s">
        <v>189</v>
      </c>
      <c r="G4" s="1"/>
      <c r="H4" s="63" t="s">
        <v>178</v>
      </c>
      <c r="I4" s="84" t="s">
        <v>181</v>
      </c>
      <c r="J4" s="1" t="s">
        <v>186</v>
      </c>
      <c r="K4" s="150" t="s">
        <v>187</v>
      </c>
      <c r="L4" s="63" t="s">
        <v>193</v>
      </c>
      <c r="M4" s="63" t="s">
        <v>201</v>
      </c>
      <c r="N4" s="63" t="s">
        <v>202</v>
      </c>
      <c r="O4" s="63" t="s">
        <v>210</v>
      </c>
      <c r="P4" s="63" t="s">
        <v>208</v>
      </c>
      <c r="Q4" s="63" t="s">
        <v>214</v>
      </c>
      <c r="R4" s="63" t="s">
        <v>215</v>
      </c>
    </row>
    <row r="5" spans="1:18" ht="6" customHeight="1" x14ac:dyDescent="0.2">
      <c r="B5" s="1"/>
      <c r="C5" s="143"/>
      <c r="D5" s="1"/>
      <c r="F5" s="2"/>
      <c r="G5" s="1"/>
    </row>
    <row r="6" spans="1:18" x14ac:dyDescent="0.2">
      <c r="A6" s="26" t="s">
        <v>168</v>
      </c>
      <c r="B6" s="48">
        <v>123000</v>
      </c>
      <c r="C6" s="144">
        <v>118875</v>
      </c>
      <c r="D6" s="48"/>
      <c r="E6" s="48">
        <v>124600</v>
      </c>
      <c r="F6" s="48">
        <v>116400</v>
      </c>
      <c r="G6" s="65"/>
      <c r="H6" s="48">
        <f>'Spec. Konton-RES.ENH'!H6</f>
        <v>120000</v>
      </c>
      <c r="I6" s="48">
        <v>115650</v>
      </c>
      <c r="J6" s="48">
        <f>'Spec. Konton-RES.ENH'!J6</f>
        <v>85000</v>
      </c>
      <c r="K6" s="48">
        <v>67095</v>
      </c>
      <c r="L6" s="48">
        <f>'Spec. Konton-RES.ENH'!L6</f>
        <v>70000</v>
      </c>
      <c r="M6" s="48">
        <f>'Spec. Konton-RES.ENH'!M6</f>
        <v>58050</v>
      </c>
      <c r="N6" s="48">
        <f>'Spec. Konton-RES.ENH'!N6</f>
        <v>90000</v>
      </c>
      <c r="O6" s="48">
        <f>'Spec. Konton-RES.ENH'!O6</f>
        <v>98370</v>
      </c>
      <c r="P6" s="48">
        <f>'Spec. Konton-RES.ENH'!P6</f>
        <v>140000</v>
      </c>
      <c r="Q6" s="48">
        <f>'Spec. Konton-RES.ENH'!Q6</f>
        <v>128725</v>
      </c>
      <c r="R6" s="48">
        <f>'Spec. Konton-RES.ENH'!R6</f>
        <v>135000</v>
      </c>
    </row>
    <row r="7" spans="1:18" x14ac:dyDescent="0.2">
      <c r="A7" s="26" t="s">
        <v>38</v>
      </c>
      <c r="B7" s="50" t="s">
        <v>37</v>
      </c>
      <c r="C7" s="145" t="s">
        <v>37</v>
      </c>
      <c r="D7" s="48"/>
      <c r="E7" s="50" t="s">
        <v>37</v>
      </c>
      <c r="F7" s="50">
        <v>0</v>
      </c>
      <c r="G7" s="48"/>
      <c r="H7" s="50">
        <f>'Spec. Konton-RES.ENH'!H7</f>
        <v>0</v>
      </c>
      <c r="I7" s="48">
        <v>0</v>
      </c>
      <c r="J7" s="50">
        <f>'Spec. Konton-RES.ENH'!J7</f>
        <v>0</v>
      </c>
      <c r="K7" s="48">
        <v>-1205</v>
      </c>
      <c r="L7" s="50">
        <f>'Spec. Konton-RES.ENH'!L7</f>
        <v>0</v>
      </c>
      <c r="M7" s="50">
        <f>'Spec. Konton-RES.ENH'!M7</f>
        <v>0</v>
      </c>
      <c r="N7" s="50">
        <f>'Spec. Konton-RES.ENH'!N7</f>
        <v>0</v>
      </c>
      <c r="O7" s="48">
        <f>'Spec. Konton-RES.ENH'!O7</f>
        <v>0</v>
      </c>
      <c r="P7" s="50">
        <f>'Spec. Konton-RES.ENH'!P7</f>
        <v>0</v>
      </c>
      <c r="Q7" s="48">
        <f>'Spec. Konton-RES.ENH'!Q7</f>
        <v>0</v>
      </c>
      <c r="R7" s="48">
        <f>'Spec. Konton-RES.ENH'!R7</f>
        <v>0</v>
      </c>
    </row>
    <row r="8" spans="1:18" x14ac:dyDescent="0.2">
      <c r="A8" s="26" t="s">
        <v>169</v>
      </c>
      <c r="B8" s="48">
        <v>3300</v>
      </c>
      <c r="C8" s="145">
        <v>3200</v>
      </c>
      <c r="D8" s="48"/>
      <c r="E8" s="48">
        <v>3100</v>
      </c>
      <c r="F8" s="50">
        <v>2800</v>
      </c>
      <c r="G8" s="48"/>
      <c r="H8" s="48">
        <f>'Spec. Konton-RES.ENH'!H8</f>
        <v>3100</v>
      </c>
      <c r="I8" s="48">
        <v>2200</v>
      </c>
      <c r="J8" s="48">
        <f>'Spec. Konton-RES.ENH'!J8</f>
        <v>3100</v>
      </c>
      <c r="K8" s="48">
        <v>1630</v>
      </c>
      <c r="L8" s="48">
        <f>'Spec. Konton-RES.ENH'!L8</f>
        <v>0</v>
      </c>
      <c r="M8" s="48">
        <f>'Spec. Konton-RES.ENH'!M8</f>
        <v>0</v>
      </c>
      <c r="N8" s="48">
        <f>'Spec. Konton-RES.ENH'!N8</f>
        <v>0</v>
      </c>
      <c r="O8" s="48">
        <f>'Spec. Konton-RES.ENH'!O8</f>
        <v>0</v>
      </c>
      <c r="P8" s="48">
        <f>'Spec. Konton-RES.ENH'!P8</f>
        <v>0</v>
      </c>
      <c r="Q8" s="48">
        <f>'Spec. Konton-RES.ENH'!Q8</f>
        <v>0</v>
      </c>
      <c r="R8" s="48">
        <f>'Spec. Konton-RES.ENH'!R8</f>
        <v>0</v>
      </c>
    </row>
    <row r="9" spans="1:18" x14ac:dyDescent="0.2">
      <c r="A9" s="26" t="s">
        <v>170</v>
      </c>
      <c r="B9" s="48">
        <v>2600</v>
      </c>
      <c r="C9" s="145">
        <v>1950</v>
      </c>
      <c r="D9" s="48"/>
      <c r="E9" s="48">
        <v>3500</v>
      </c>
      <c r="F9" s="50">
        <v>1890</v>
      </c>
      <c r="G9" s="48"/>
      <c r="H9" s="48">
        <f>'Spec. Konton-RES.ENH'!H9</f>
        <v>2500</v>
      </c>
      <c r="I9" s="48">
        <v>1320</v>
      </c>
      <c r="J9" s="48">
        <f>'Spec. Konton-RES.ENH'!J9</f>
        <v>2500</v>
      </c>
      <c r="K9" s="48">
        <v>0</v>
      </c>
      <c r="L9" s="48">
        <f>'Spec. Konton-RES.ENH'!L9</f>
        <v>0</v>
      </c>
      <c r="M9" s="48">
        <f>'Spec. Konton-RES.ENH'!M9</f>
        <v>0</v>
      </c>
      <c r="N9" s="48">
        <f>'Spec. Konton-RES.ENH'!N9</f>
        <v>0</v>
      </c>
      <c r="O9" s="48">
        <f>'Spec. Konton-RES.ENH'!O9</f>
        <v>0</v>
      </c>
      <c r="P9" s="48">
        <f>'Spec. Konton-RES.ENH'!P9</f>
        <v>0</v>
      </c>
      <c r="Q9" s="48">
        <f>'Spec. Konton-RES.ENH'!Q9</f>
        <v>0</v>
      </c>
      <c r="R9" s="48">
        <f>'Spec. Konton-RES.ENH'!R9</f>
        <v>0</v>
      </c>
    </row>
    <row r="10" spans="1:18" x14ac:dyDescent="0.2">
      <c r="A10" s="26" t="s">
        <v>39</v>
      </c>
      <c r="B10" s="50" t="s">
        <v>37</v>
      </c>
      <c r="C10" s="145" t="s">
        <v>37</v>
      </c>
      <c r="D10" s="48"/>
      <c r="E10" s="50" t="s">
        <v>37</v>
      </c>
      <c r="F10" s="50">
        <v>0</v>
      </c>
      <c r="G10" s="48"/>
      <c r="H10" s="50" t="str">
        <f>'Spec. Konton-RES.ENH'!H10</f>
        <v>-</v>
      </c>
      <c r="I10" s="48">
        <v>0</v>
      </c>
      <c r="J10" s="50">
        <f>'Spec. Konton-RES.ENH'!J10</f>
        <v>0</v>
      </c>
      <c r="K10" s="48">
        <v>530</v>
      </c>
      <c r="L10" s="50">
        <f>'Spec. Konton-RES.ENH'!L10</f>
        <v>0</v>
      </c>
      <c r="M10" s="50">
        <f>'Spec. Konton-RES.ENH'!M10</f>
        <v>0</v>
      </c>
      <c r="N10" s="50">
        <f>'Spec. Konton-RES.ENH'!N10</f>
        <v>0</v>
      </c>
      <c r="O10" s="48">
        <f>'Spec. Konton-RES.ENH'!O10</f>
        <v>0</v>
      </c>
      <c r="P10" s="50">
        <f>'Spec. Konton-RES.ENH'!P10</f>
        <v>0</v>
      </c>
      <c r="Q10" s="48">
        <f>'Spec. Konton-RES.ENH'!Q10</f>
        <v>0</v>
      </c>
      <c r="R10" s="48">
        <f>'Spec. Konton-RES.ENH'!R10</f>
        <v>0</v>
      </c>
    </row>
    <row r="11" spans="1:18" x14ac:dyDescent="0.2">
      <c r="A11" s="26" t="s">
        <v>40</v>
      </c>
      <c r="B11" s="50" t="s">
        <v>37</v>
      </c>
      <c r="C11" s="145" t="s">
        <v>37</v>
      </c>
      <c r="D11" s="48"/>
      <c r="E11" s="50" t="s">
        <v>37</v>
      </c>
      <c r="F11" s="50">
        <v>0</v>
      </c>
      <c r="G11" s="48"/>
      <c r="H11" s="50" t="str">
        <f>'Spec. Konton-RES.ENH'!H11</f>
        <v>-</v>
      </c>
      <c r="I11" s="48">
        <v>0</v>
      </c>
      <c r="J11" s="50">
        <f>'Spec. Konton-RES.ENH'!J11</f>
        <v>0</v>
      </c>
      <c r="K11" s="48">
        <v>0</v>
      </c>
      <c r="L11" s="50">
        <f>'Spec. Konton-RES.ENH'!L11</f>
        <v>0</v>
      </c>
      <c r="M11" s="50">
        <f>'Spec. Konton-RES.ENH'!M11</f>
        <v>0</v>
      </c>
      <c r="N11" s="50">
        <f>'Spec. Konton-RES.ENH'!N11</f>
        <v>0</v>
      </c>
      <c r="O11" s="48">
        <f>'Spec. Konton-RES.ENH'!O11</f>
        <v>0</v>
      </c>
      <c r="P11" s="50">
        <f>'Spec. Konton-RES.ENH'!P11</f>
        <v>0</v>
      </c>
      <c r="Q11" s="48">
        <f>'Spec. Konton-RES.ENH'!Q11</f>
        <v>0</v>
      </c>
      <c r="R11" s="48">
        <f>'Spec. Konton-RES.ENH'!R11</f>
        <v>0</v>
      </c>
    </row>
    <row r="12" spans="1:18" x14ac:dyDescent="0.2">
      <c r="A12" s="27" t="s">
        <v>16</v>
      </c>
      <c r="B12" s="48">
        <v>55700</v>
      </c>
      <c r="C12" s="144">
        <v>55770</v>
      </c>
      <c r="D12" s="48"/>
      <c r="E12" s="48">
        <v>66000</v>
      </c>
      <c r="F12" s="48">
        <v>80000</v>
      </c>
      <c r="G12" s="48"/>
      <c r="H12" s="50">
        <f>'Spec. Konton-RES.ENH'!H12</f>
        <v>76000</v>
      </c>
      <c r="I12" s="48">
        <v>78000</v>
      </c>
      <c r="J12" s="50">
        <f>'Spec. Konton-RES.ENH'!J12</f>
        <v>76000</v>
      </c>
      <c r="K12" s="48">
        <v>68000</v>
      </c>
      <c r="L12" s="50">
        <f>'Spec. Konton-RES.ENH'!L12</f>
        <v>0</v>
      </c>
      <c r="M12" s="50">
        <f>'Spec. Konton-RES.ENH'!M12</f>
        <v>65835</v>
      </c>
      <c r="N12" s="50">
        <f>'Spec. Konton-RES.ENH'!N12</f>
        <v>65000</v>
      </c>
      <c r="O12" s="48">
        <f>'Spec. Konton-RES.ENH'!O12</f>
        <v>114680</v>
      </c>
      <c r="P12" s="50">
        <f>'Spec. Konton-RES.ENH'!P12</f>
        <v>50000</v>
      </c>
      <c r="Q12" s="48">
        <f>'Spec. Konton-RES.ENH'!Q12</f>
        <v>111905</v>
      </c>
      <c r="R12" s="48">
        <f>'Spec. Konton-RES.ENH'!R12</f>
        <v>110000</v>
      </c>
    </row>
    <row r="13" spans="1:18" x14ac:dyDescent="0.2">
      <c r="A13" s="27" t="s">
        <v>17</v>
      </c>
      <c r="B13" s="48">
        <v>20300</v>
      </c>
      <c r="C13" s="144">
        <v>21360</v>
      </c>
      <c r="D13" s="48"/>
      <c r="E13" s="48">
        <v>24000</v>
      </c>
      <c r="F13" s="48">
        <v>15000</v>
      </c>
      <c r="G13" s="48"/>
      <c r="H13" s="50">
        <f>'Spec. Konton-RES.ENH'!H13</f>
        <v>16000</v>
      </c>
      <c r="I13" s="48">
        <v>14000</v>
      </c>
      <c r="J13" s="50">
        <f>'Spec. Konton-RES.ENH'!J13</f>
        <v>16000</v>
      </c>
      <c r="K13" s="48">
        <v>7000</v>
      </c>
      <c r="L13" s="50">
        <f>'Spec. Konton-RES.ENH'!L13</f>
        <v>20000</v>
      </c>
      <c r="M13" s="50">
        <f>'Spec. Konton-RES.ENH'!M13</f>
        <v>0</v>
      </c>
      <c r="N13" s="50">
        <f>'Spec. Konton-RES.ENH'!N13</f>
        <v>0</v>
      </c>
      <c r="O13" s="48">
        <f>'Spec. Konton-RES.ENH'!O13</f>
        <v>16000</v>
      </c>
      <c r="P13" s="50">
        <f>'Spec. Konton-RES.ENH'!P13</f>
        <v>15000</v>
      </c>
      <c r="Q13" s="48">
        <f>'Spec. Konton-RES.ENH'!Q13</f>
        <v>15000</v>
      </c>
      <c r="R13" s="48">
        <f>'Spec. Konton-RES.ENH'!R13</f>
        <v>15000</v>
      </c>
    </row>
    <row r="14" spans="1:18" x14ac:dyDescent="0.2">
      <c r="A14" s="2" t="s">
        <v>18</v>
      </c>
      <c r="B14" s="48">
        <v>70000</v>
      </c>
      <c r="C14" s="144">
        <v>62885</v>
      </c>
      <c r="D14" s="48"/>
      <c r="E14" s="48">
        <v>60000</v>
      </c>
      <c r="F14" s="48">
        <v>72833</v>
      </c>
      <c r="G14" s="48"/>
      <c r="H14" s="50">
        <f>'Spec. Konton-RES.ENH'!H14</f>
        <v>72000</v>
      </c>
      <c r="I14" s="48">
        <v>70125</v>
      </c>
      <c r="J14" s="50">
        <f>'Spec. Konton-RES.ENH'!J14</f>
        <v>72000</v>
      </c>
      <c r="K14" s="48">
        <v>67417</v>
      </c>
      <c r="L14" s="50">
        <f>'Spec. Konton-RES.ENH'!L14</f>
        <v>0</v>
      </c>
      <c r="M14" s="50">
        <f>'Spec. Konton-RES.ENH'!M14</f>
        <v>0</v>
      </c>
      <c r="N14" s="50">
        <f>'Spec. Konton-RES.ENH'!N14</f>
        <v>0</v>
      </c>
      <c r="O14" s="48">
        <f>'Spec. Konton-RES.ENH'!O14</f>
        <v>0</v>
      </c>
      <c r="P14" s="50">
        <f>'Spec. Konton-RES.ENH'!P14</f>
        <v>0</v>
      </c>
      <c r="Q14" s="48">
        <f>'Spec. Konton-RES.ENH'!Q14</f>
        <v>0</v>
      </c>
      <c r="R14" s="48">
        <f>'Spec. Konton-RES.ENH'!R14</f>
        <v>0</v>
      </c>
    </row>
    <row r="15" spans="1:18" x14ac:dyDescent="0.2">
      <c r="A15" s="2" t="s">
        <v>19</v>
      </c>
      <c r="B15" s="48">
        <v>22500</v>
      </c>
      <c r="C15" s="144">
        <v>22500</v>
      </c>
      <c r="D15" s="48"/>
      <c r="E15" s="48">
        <v>37500</v>
      </c>
      <c r="F15" s="48">
        <v>37000</v>
      </c>
      <c r="G15" s="48"/>
      <c r="H15" s="50">
        <f>'Spec. Konton-RES.ENH'!H15</f>
        <v>37500</v>
      </c>
      <c r="I15" s="48">
        <v>40500</v>
      </c>
      <c r="J15" s="50">
        <f>'Spec. Konton-RES.ENH'!J15</f>
        <v>37500</v>
      </c>
      <c r="K15" s="48">
        <v>33500</v>
      </c>
      <c r="L15" s="50">
        <f>'Spec. Konton-RES.ENH'!L15</f>
        <v>34000</v>
      </c>
      <c r="M15" s="50">
        <f>'Spec. Konton-RES.ENH'!M15</f>
        <v>24500</v>
      </c>
      <c r="N15" s="50">
        <f>'Spec. Konton-RES.ENH'!N15</f>
        <v>28000</v>
      </c>
      <c r="O15" s="48">
        <f>'Spec. Konton-RES.ENH'!O15</f>
        <v>45000</v>
      </c>
      <c r="P15" s="50">
        <f>'Spec. Konton-RES.ENH'!P15</f>
        <v>40000</v>
      </c>
      <c r="Q15" s="48">
        <f>'Spec. Konton-RES.ENH'!Q15</f>
        <v>28000</v>
      </c>
      <c r="R15" s="48">
        <f>'Spec. Konton-RES.ENH'!R15</f>
        <v>27500</v>
      </c>
    </row>
    <row r="16" spans="1:18" x14ac:dyDescent="0.2">
      <c r="A16" s="2" t="s">
        <v>20</v>
      </c>
      <c r="B16" s="48">
        <v>12500</v>
      </c>
      <c r="C16" s="144">
        <v>12500</v>
      </c>
      <c r="D16" s="48"/>
      <c r="E16" s="48">
        <v>12500</v>
      </c>
      <c r="F16" s="48">
        <f>10500+1000+1000</f>
        <v>12500</v>
      </c>
      <c r="G16" s="48"/>
      <c r="H16" s="50">
        <f>'Spec. Konton-RES.ENH'!H16</f>
        <v>11000</v>
      </c>
      <c r="I16" s="48">
        <v>10000</v>
      </c>
      <c r="J16" s="50">
        <f>'Spec. Konton-RES.ENH'!J16</f>
        <v>11000</v>
      </c>
      <c r="K16" s="48">
        <v>-1000</v>
      </c>
      <c r="L16" s="50">
        <f>'Spec. Konton-RES.ENH'!L16</f>
        <v>6500</v>
      </c>
      <c r="M16" s="50">
        <f>'Spec. Konton-RES.ENH'!M16</f>
        <v>0</v>
      </c>
      <c r="N16" s="50">
        <f>'Spec. Konton-RES.ENH'!N16</f>
        <v>5000</v>
      </c>
      <c r="O16" s="48">
        <f>'Spec. Konton-RES.ENH'!O16</f>
        <v>0</v>
      </c>
      <c r="P16" s="50">
        <f>'Spec. Konton-RES.ENH'!P16</f>
        <v>3000</v>
      </c>
      <c r="Q16" s="48">
        <f>'Spec. Konton-RES.ENH'!Q16</f>
        <v>0</v>
      </c>
      <c r="R16" s="48">
        <f>'Spec. Konton-RES.ENH'!R16</f>
        <v>3000</v>
      </c>
    </row>
    <row r="17" spans="1:18" x14ac:dyDescent="0.2">
      <c r="A17" s="2" t="s">
        <v>199</v>
      </c>
      <c r="B17" s="48">
        <v>0</v>
      </c>
      <c r="C17" s="144">
        <v>0</v>
      </c>
      <c r="D17" s="48"/>
      <c r="E17" s="48">
        <v>0</v>
      </c>
      <c r="F17" s="48">
        <v>0</v>
      </c>
      <c r="G17" s="48"/>
      <c r="H17" s="50">
        <v>0</v>
      </c>
      <c r="I17" s="48">
        <v>0</v>
      </c>
      <c r="J17" s="50">
        <v>0</v>
      </c>
      <c r="K17" s="48">
        <v>10000</v>
      </c>
      <c r="L17" s="50">
        <v>0</v>
      </c>
      <c r="M17" s="50">
        <f>'Spec. Konton-RES.ENH'!M17</f>
        <v>-10000</v>
      </c>
      <c r="N17" s="50">
        <v>0</v>
      </c>
      <c r="O17" s="48">
        <f>'Spec. Konton-RES.ENH'!O17</f>
        <v>0</v>
      </c>
      <c r="P17" s="50">
        <v>0</v>
      </c>
      <c r="Q17" s="48">
        <f>'Spec. Konton-RES.ENH'!Q17</f>
        <v>0</v>
      </c>
      <c r="R17" s="48">
        <f>'Spec. Konton-RES.ENH'!R17</f>
        <v>0</v>
      </c>
    </row>
    <row r="18" spans="1:18" x14ac:dyDescent="0.2">
      <c r="A18" s="28" t="s">
        <v>58</v>
      </c>
      <c r="B18" s="48">
        <v>259100</v>
      </c>
      <c r="C18" s="144">
        <v>195990</v>
      </c>
      <c r="D18" s="48"/>
      <c r="E18" s="48">
        <v>230250</v>
      </c>
      <c r="F18" s="48">
        <v>199310</v>
      </c>
      <c r="G18" s="48"/>
      <c r="H18" s="50">
        <f>'Spec. Konton-RES.ENH'!H18</f>
        <v>227750</v>
      </c>
      <c r="I18" s="48">
        <v>239535</v>
      </c>
      <c r="J18" s="50">
        <f>'Spec. Konton-RES.ENH'!J18</f>
        <v>227750</v>
      </c>
      <c r="K18" s="48">
        <v>11720</v>
      </c>
      <c r="L18" s="50">
        <f>'Spec. Konton-RES.ENH'!L18</f>
        <v>540720</v>
      </c>
      <c r="M18" s="50">
        <f>'Spec. Konton-RES.ENH'!M18</f>
        <v>94280</v>
      </c>
      <c r="N18" s="50">
        <f>'Spec. Konton-RES.ENH'!N18</f>
        <v>192750</v>
      </c>
      <c r="O18" s="48">
        <f>'Spec. Konton-RES.ENH'!O18</f>
        <v>182248</v>
      </c>
      <c r="P18" s="50">
        <f>'Spec. Konton-RES.ENH'!P18</f>
        <v>390000</v>
      </c>
      <c r="Q18" s="48">
        <f>'Spec. Konton-RES.ENH'!Q18</f>
        <v>278205</v>
      </c>
      <c r="R18" s="48">
        <f>'Spec. Konton-RES.ENH'!R18</f>
        <v>313000</v>
      </c>
    </row>
    <row r="19" spans="1:18" x14ac:dyDescent="0.2">
      <c r="A19" s="28" t="s">
        <v>59</v>
      </c>
      <c r="B19" s="48">
        <v>75200</v>
      </c>
      <c r="C19" s="144">
        <v>20300</v>
      </c>
      <c r="D19" s="48"/>
      <c r="E19" s="48">
        <v>57200</v>
      </c>
      <c r="F19" s="48">
        <v>7500</v>
      </c>
      <c r="G19" s="48"/>
      <c r="H19" s="50">
        <f>'Spec. Konton-RES.ENH'!H19</f>
        <v>78000</v>
      </c>
      <c r="I19" s="48">
        <v>40600</v>
      </c>
      <c r="J19" s="50">
        <f>'Spec. Konton-RES.ENH'!J19</f>
        <v>78000</v>
      </c>
      <c r="K19" s="48">
        <v>0</v>
      </c>
      <c r="L19" s="50">
        <f>'Spec. Konton-RES.ENH'!L19</f>
        <v>7800</v>
      </c>
      <c r="M19" s="50">
        <f>'Spec. Konton-RES.ENH'!M19</f>
        <v>0</v>
      </c>
      <c r="N19" s="50">
        <f>'Spec. Konton-RES.ENH'!N19</f>
        <v>78000</v>
      </c>
      <c r="O19" s="48">
        <f>'Spec. Konton-RES.ENH'!O19</f>
        <v>0</v>
      </c>
      <c r="P19" s="50">
        <f>'Spec. Konton-RES.ENH'!P19</f>
        <v>60000</v>
      </c>
      <c r="Q19" s="48">
        <f>'Spec. Konton-RES.ENH'!Q19</f>
        <v>0</v>
      </c>
      <c r="R19" s="48">
        <f>'Spec. Konton-RES.ENH'!R19</f>
        <v>56000</v>
      </c>
    </row>
    <row r="20" spans="1:18" x14ac:dyDescent="0.2">
      <c r="A20" s="28" t="s">
        <v>60</v>
      </c>
      <c r="B20" s="48">
        <v>34000</v>
      </c>
      <c r="C20" s="144">
        <v>11892.94</v>
      </c>
      <c r="D20" s="48"/>
      <c r="E20" s="48">
        <v>10000</v>
      </c>
      <c r="F20" s="48">
        <v>7000</v>
      </c>
      <c r="G20" s="48"/>
      <c r="H20" s="50">
        <f>'Spec. Konton-RES.ENH'!H20</f>
        <v>10000</v>
      </c>
      <c r="I20" s="48">
        <v>5250</v>
      </c>
      <c r="J20" s="50">
        <f>'Spec. Konton-RES.ENH'!J20</f>
        <v>10000</v>
      </c>
      <c r="K20" s="48">
        <v>0</v>
      </c>
      <c r="L20" s="50">
        <f>'Spec. Konton-RES.ENH'!L20</f>
        <v>0</v>
      </c>
      <c r="M20" s="50">
        <f>'Spec. Konton-RES.ENH'!M20</f>
        <v>0</v>
      </c>
      <c r="N20" s="50">
        <f>'Spec. Konton-RES.ENH'!N20</f>
        <v>10000</v>
      </c>
      <c r="O20" s="48">
        <f>'Spec. Konton-RES.ENH'!O20</f>
        <v>0</v>
      </c>
      <c r="P20" s="50">
        <f>'Spec. Konton-RES.ENH'!P20</f>
        <v>10000</v>
      </c>
      <c r="Q20" s="48">
        <f>'Spec. Konton-RES.ENH'!Q20</f>
        <v>0</v>
      </c>
      <c r="R20" s="48">
        <f>'Spec. Konton-RES.ENH'!R20</f>
        <v>0</v>
      </c>
    </row>
    <row r="21" spans="1:18" x14ac:dyDescent="0.2">
      <c r="A21" s="31" t="s">
        <v>171</v>
      </c>
      <c r="B21" s="48">
        <v>0</v>
      </c>
      <c r="C21" s="144">
        <v>86942</v>
      </c>
      <c r="D21" s="48"/>
      <c r="E21" s="48">
        <v>0</v>
      </c>
      <c r="F21" s="48">
        <v>12759</v>
      </c>
      <c r="G21" s="66"/>
      <c r="H21" s="50">
        <f>'Spec. Konton-RES.ENH'!H21</f>
        <v>3000</v>
      </c>
      <c r="I21" s="48">
        <v>-250</v>
      </c>
      <c r="J21" s="50">
        <f>'Spec. Konton-RES.ENH'!J21</f>
        <v>0</v>
      </c>
      <c r="K21" s="48">
        <v>469</v>
      </c>
      <c r="L21" s="50">
        <f>'Spec. Konton-RES.ENH'!L21</f>
        <v>0</v>
      </c>
      <c r="M21" s="50">
        <f>'Spec. Konton-RES.ENH'!M21</f>
        <v>0</v>
      </c>
      <c r="N21" s="50">
        <f>'Spec. Konton-RES.ENH'!N21</f>
        <v>0</v>
      </c>
      <c r="O21" s="48">
        <f>'Spec. Konton-RES.ENH'!O21</f>
        <v>0</v>
      </c>
      <c r="P21" s="50">
        <f>'Spec. Konton-RES.ENH'!P21</f>
        <v>0</v>
      </c>
      <c r="Q21" s="48">
        <f>'Spec. Konton-RES.ENH'!Q21</f>
        <v>0</v>
      </c>
      <c r="R21" s="48">
        <f>'Spec. Konton-RES.ENH'!R21</f>
        <v>0</v>
      </c>
    </row>
    <row r="22" spans="1:18" x14ac:dyDescent="0.2">
      <c r="A22" s="29" t="s">
        <v>41</v>
      </c>
      <c r="B22" s="48">
        <v>42700</v>
      </c>
      <c r="C22" s="144">
        <v>42741</v>
      </c>
      <c r="D22" s="48"/>
      <c r="E22" s="48">
        <v>42700</v>
      </c>
      <c r="F22" s="48">
        <v>63851</v>
      </c>
      <c r="G22" s="48"/>
      <c r="H22" s="50">
        <f>'Spec. Konton-RES.ENH'!H22</f>
        <v>42700</v>
      </c>
      <c r="I22" s="48">
        <v>21134</v>
      </c>
      <c r="J22" s="50">
        <f>'Spec. Konton-RES.ENH'!J22</f>
        <v>42700</v>
      </c>
      <c r="K22" s="48">
        <v>30000</v>
      </c>
      <c r="L22" s="50">
        <f>'Spec. Konton-RES.ENH'!L22</f>
        <v>30000</v>
      </c>
      <c r="M22" s="50">
        <f>'Spec. Konton-RES.ENH'!M22</f>
        <v>15000</v>
      </c>
      <c r="N22" s="50">
        <f>'Spec. Konton-RES.ENH'!N22</f>
        <v>30000</v>
      </c>
      <c r="O22" s="48">
        <f>'Spec. Konton-RES.ENH'!O22</f>
        <v>57922</v>
      </c>
      <c r="P22" s="50">
        <f>'Spec. Konton-RES.ENH'!P22</f>
        <v>57000</v>
      </c>
      <c r="Q22" s="48">
        <f>'Spec. Konton-RES.ENH'!Q22</f>
        <v>58808</v>
      </c>
      <c r="R22" s="48">
        <f>'Spec. Konton-RES.ENH'!R22</f>
        <v>30000</v>
      </c>
    </row>
    <row r="23" spans="1:18" x14ac:dyDescent="0.2">
      <c r="A23" s="29" t="s">
        <v>42</v>
      </c>
      <c r="B23" s="48">
        <v>25000</v>
      </c>
      <c r="C23" s="144">
        <v>26096</v>
      </c>
      <c r="D23" s="48"/>
      <c r="E23" s="48">
        <v>20000</v>
      </c>
      <c r="F23" s="48">
        <v>30401</v>
      </c>
      <c r="G23" s="48"/>
      <c r="H23" s="50">
        <f>'Spec. Konton-RES.ENH'!H23</f>
        <v>12500</v>
      </c>
      <c r="I23" s="48">
        <v>32448</v>
      </c>
      <c r="J23" s="50">
        <f>'Spec. Konton-RES.ENH'!J23</f>
        <v>12500</v>
      </c>
      <c r="K23" s="48">
        <v>43091</v>
      </c>
      <c r="L23" s="50">
        <f>'Spec. Konton-RES.ENH'!L23</f>
        <v>43000</v>
      </c>
      <c r="M23" s="50">
        <f>'Spec. Konton-RES.ENH'!M23</f>
        <v>46468</v>
      </c>
      <c r="N23" s="50">
        <f>'Spec. Konton-RES.ENH'!N23</f>
        <v>125000</v>
      </c>
      <c r="O23" s="48">
        <f>'Spec. Konton-RES.ENH'!O23</f>
        <v>141724</v>
      </c>
      <c r="P23" s="50">
        <f>'Spec. Konton-RES.ENH'!P23</f>
        <v>163000</v>
      </c>
      <c r="Q23" s="48">
        <f>'Spec. Konton-RES.ENH'!Q23</f>
        <v>80000</v>
      </c>
      <c r="R23" s="48">
        <f>'Spec. Konton-RES.ENH'!R23</f>
        <v>29000</v>
      </c>
    </row>
    <row r="24" spans="1:18" x14ac:dyDescent="0.2">
      <c r="A24" s="29" t="s">
        <v>61</v>
      </c>
      <c r="B24" s="48">
        <v>16500</v>
      </c>
      <c r="C24" s="144">
        <v>38120</v>
      </c>
      <c r="D24" s="48"/>
      <c r="E24" s="48">
        <v>25000</v>
      </c>
      <c r="F24" s="48">
        <v>25000</v>
      </c>
      <c r="G24" s="48"/>
      <c r="H24" s="50">
        <f>'Spec. Konton-RES.ENH'!H24</f>
        <v>5000</v>
      </c>
      <c r="I24" s="48">
        <v>0</v>
      </c>
      <c r="J24" s="50">
        <f>'Spec. Konton-RES.ENH'!J24</f>
        <v>5000</v>
      </c>
      <c r="K24" s="48">
        <v>0</v>
      </c>
      <c r="L24" s="50">
        <f>'Spec. Konton-RES.ENH'!L24</f>
        <v>0</v>
      </c>
      <c r="M24" s="50">
        <f>'Spec. Konton-RES.ENH'!M24</f>
        <v>0</v>
      </c>
      <c r="N24" s="50">
        <f>'Spec. Konton-RES.ENH'!N24</f>
        <v>5000</v>
      </c>
      <c r="O24" s="48">
        <f>'Spec. Konton-RES.ENH'!O24</f>
        <v>1529</v>
      </c>
      <c r="P24" s="50">
        <f>'Spec. Konton-RES.ENH'!P24</f>
        <v>0</v>
      </c>
      <c r="Q24" s="48">
        <f>'Spec. Konton-RES.ENH'!Q24</f>
        <v>0</v>
      </c>
      <c r="R24" s="48">
        <f>'Spec. Konton-RES.ENH'!R24</f>
        <v>0</v>
      </c>
    </row>
    <row r="25" spans="1:18" x14ac:dyDescent="0.2">
      <c r="A25" s="30" t="s">
        <v>111</v>
      </c>
      <c r="B25" s="67">
        <v>0</v>
      </c>
      <c r="C25" s="146">
        <v>1000</v>
      </c>
      <c r="D25" s="67"/>
      <c r="E25" s="67">
        <v>0</v>
      </c>
      <c r="F25" s="67">
        <v>641</v>
      </c>
      <c r="G25" s="67"/>
      <c r="H25" s="68">
        <f>'Spec. Konton-RES.ENH'!H25</f>
        <v>0</v>
      </c>
      <c r="I25" s="68">
        <f>'Spec. Konton-RES.ENH'!K25</f>
        <v>0</v>
      </c>
      <c r="J25" s="68">
        <f>'Spec. Konton-RES.ENH'!J25</f>
        <v>0</v>
      </c>
      <c r="K25" s="68">
        <v>0</v>
      </c>
      <c r="L25" s="68">
        <f>'Spec. Konton-RES.ENH'!L25</f>
        <v>0</v>
      </c>
      <c r="M25" s="68">
        <f>'Spec. Konton-RES.ENH'!M25</f>
        <v>0</v>
      </c>
      <c r="N25" s="68">
        <f>'Spec. Konton-RES.ENH'!N25</f>
        <v>0</v>
      </c>
      <c r="O25" s="170">
        <f>'Spec. Konton-RES.ENH'!O25</f>
        <v>0</v>
      </c>
      <c r="P25" s="68">
        <f>'Spec. Konton-RES.ENH'!P25</f>
        <v>0</v>
      </c>
      <c r="Q25" s="67">
        <f>'Spec. Konton-RES.ENH'!Q25</f>
        <v>0</v>
      </c>
      <c r="R25" s="67">
        <f>'Spec. Konton-RES.ENH'!R25</f>
        <v>0</v>
      </c>
    </row>
    <row r="26" spans="1:18" s="1" customFormat="1" x14ac:dyDescent="0.2">
      <c r="A26" s="1" t="s">
        <v>31</v>
      </c>
      <c r="B26" s="49">
        <f>SUM(B6:B25)</f>
        <v>762400</v>
      </c>
      <c r="C26" s="147">
        <f>SUM(C6:C25)</f>
        <v>722121.94</v>
      </c>
      <c r="D26" s="49"/>
      <c r="E26" s="49">
        <f>SUM(E6:E25)</f>
        <v>716350</v>
      </c>
      <c r="F26" s="49">
        <f>SUM(F6:F25)</f>
        <v>684885</v>
      </c>
      <c r="G26" s="49"/>
      <c r="H26" s="49">
        <f t="shared" ref="H26:M26" si="0">SUM(H6:H25)</f>
        <v>717050</v>
      </c>
      <c r="I26" s="49">
        <f t="shared" si="0"/>
        <v>670512</v>
      </c>
      <c r="J26" s="49">
        <f t="shared" si="0"/>
        <v>679050</v>
      </c>
      <c r="K26" s="49">
        <f t="shared" si="0"/>
        <v>338247</v>
      </c>
      <c r="L26" s="49">
        <f t="shared" si="0"/>
        <v>752020</v>
      </c>
      <c r="M26" s="49">
        <f t="shared" si="0"/>
        <v>294133</v>
      </c>
      <c r="N26" s="49">
        <f t="shared" ref="N26:O26" si="1">SUM(N6:N25)</f>
        <v>628750</v>
      </c>
      <c r="O26" s="49">
        <f t="shared" si="1"/>
        <v>657473</v>
      </c>
      <c r="P26" s="49">
        <f t="shared" ref="P26:Q26" si="2">SUM(P6:P25)</f>
        <v>928000</v>
      </c>
      <c r="Q26" s="49">
        <f t="shared" si="2"/>
        <v>700643</v>
      </c>
      <c r="R26" s="49">
        <f t="shared" ref="R26" si="3">SUM(R6:R25)</f>
        <v>718500</v>
      </c>
    </row>
    <row r="27" spans="1:18" ht="10.5" customHeight="1" x14ac:dyDescent="0.2">
      <c r="B27" s="48"/>
      <c r="C27" s="144"/>
      <c r="D27" s="48"/>
      <c r="E27" s="48"/>
      <c r="F27" s="48"/>
      <c r="G27" s="48"/>
      <c r="H27" s="48"/>
      <c r="J27" s="48"/>
      <c r="L27" s="48"/>
      <c r="M27" s="48"/>
      <c r="N27" s="48"/>
      <c r="O27" s="48"/>
      <c r="P27" s="48"/>
    </row>
    <row r="28" spans="1:18" ht="10.5" customHeight="1" x14ac:dyDescent="0.2">
      <c r="A28" s="2" t="s">
        <v>180</v>
      </c>
      <c r="B28" s="48">
        <v>0</v>
      </c>
      <c r="C28" s="144">
        <v>0</v>
      </c>
      <c r="D28" s="48"/>
      <c r="E28" s="48">
        <v>0</v>
      </c>
      <c r="F28" s="48">
        <v>0</v>
      </c>
      <c r="G28" s="48"/>
      <c r="H28" s="48">
        <v>0</v>
      </c>
      <c r="I28" s="48">
        <v>9900</v>
      </c>
      <c r="J28" s="48">
        <v>0</v>
      </c>
      <c r="K28" s="48">
        <v>0</v>
      </c>
      <c r="L28" s="48">
        <v>0</v>
      </c>
      <c r="M28" s="48">
        <f>'Spec. Konton-RES.ENH'!M28</f>
        <v>7950</v>
      </c>
      <c r="N28" s="48">
        <v>0</v>
      </c>
      <c r="O28" s="48">
        <f>'Spec. Konton-RES.ENH'!O28</f>
        <v>17570</v>
      </c>
      <c r="P28" s="48">
        <f>'Spec. Konton-RES.ENH'!P28</f>
        <v>18000</v>
      </c>
      <c r="Q28" s="48">
        <f>'Spec. Konton-RES.ENH'!Q28</f>
        <v>46260</v>
      </c>
      <c r="R28" s="48">
        <f>'Spec. Konton-RES.ENH'!R28</f>
        <v>21000</v>
      </c>
    </row>
    <row r="29" spans="1:18" x14ac:dyDescent="0.2">
      <c r="A29" s="2" t="s">
        <v>62</v>
      </c>
      <c r="B29" s="48">
        <v>239360</v>
      </c>
      <c r="C29" s="144">
        <v>167877</v>
      </c>
      <c r="D29" s="48"/>
      <c r="E29" s="48">
        <v>196500</v>
      </c>
      <c r="F29" s="48">
        <v>172959</v>
      </c>
      <c r="G29" s="48"/>
      <c r="H29" s="48">
        <f>'Spec. Konton-RES.ENH'!H29</f>
        <v>235900</v>
      </c>
      <c r="I29" s="48">
        <v>196089</v>
      </c>
      <c r="J29" s="48">
        <f>'Spec. Konton-RES.ENH'!J29</f>
        <v>280000</v>
      </c>
      <c r="K29" s="48">
        <v>11640</v>
      </c>
      <c r="L29" s="48">
        <f>'Spec. Konton-RES.ENH'!L29</f>
        <v>251700</v>
      </c>
      <c r="M29" s="48">
        <f>'Spec. Konton-RES.ENH'!M29</f>
        <v>126886</v>
      </c>
      <c r="N29" s="48">
        <f>'Spec. Konton-RES.ENH'!N29</f>
        <v>276700</v>
      </c>
      <c r="O29" s="48">
        <f>'Spec. Konton-RES.ENH'!O29</f>
        <v>331445</v>
      </c>
      <c r="P29" s="48">
        <f>'Spec. Konton-RES.ENH'!P29</f>
        <v>475900</v>
      </c>
      <c r="Q29" s="48">
        <f>'Spec. Konton-RES.ENH'!Q29</f>
        <v>425771</v>
      </c>
      <c r="R29" s="48">
        <f>'Spec. Konton-RES.ENH'!R29</f>
        <v>388200</v>
      </c>
    </row>
    <row r="30" spans="1:18" x14ac:dyDescent="0.2">
      <c r="A30" s="31" t="s">
        <v>63</v>
      </c>
      <c r="B30" s="48">
        <v>5200</v>
      </c>
      <c r="C30" s="144">
        <v>4650</v>
      </c>
      <c r="D30" s="48"/>
      <c r="E30" s="48">
        <v>4900</v>
      </c>
      <c r="F30" s="48">
        <v>5370</v>
      </c>
      <c r="G30" s="48"/>
      <c r="H30" s="48">
        <f>'Spec. Konton-RES.ENH'!H30</f>
        <v>4900</v>
      </c>
      <c r="I30" s="48">
        <v>2520</v>
      </c>
      <c r="J30" s="48">
        <f>'Spec. Konton-RES.ENH'!J30</f>
        <v>4900</v>
      </c>
      <c r="K30" s="48">
        <v>0</v>
      </c>
      <c r="L30" s="48">
        <f>'Spec. Konton-RES.ENH'!L30</f>
        <v>103300</v>
      </c>
      <c r="M30" s="48">
        <f>'Spec. Konton-RES.ENH'!M30</f>
        <v>0</v>
      </c>
      <c r="N30" s="48">
        <f>'Spec. Konton-RES.ENH'!N30</f>
        <v>5900</v>
      </c>
      <c r="O30" s="48">
        <f>'Spec. Konton-RES.ENH'!O30</f>
        <v>58030.2</v>
      </c>
      <c r="P30" s="48">
        <f>'Spec. Konton-RES.ENH'!P30</f>
        <v>70000</v>
      </c>
      <c r="Q30" s="48">
        <f>'Spec. Konton-RES.ENH'!Q30</f>
        <v>46975</v>
      </c>
      <c r="R30" s="48">
        <f>'Spec. Konton-RES.ENH'!R30</f>
        <v>49500</v>
      </c>
    </row>
    <row r="31" spans="1:18" x14ac:dyDescent="0.2">
      <c r="A31" s="31" t="s">
        <v>64</v>
      </c>
      <c r="B31" s="48">
        <v>48900</v>
      </c>
      <c r="C31" s="144">
        <v>40994</v>
      </c>
      <c r="D31" s="48"/>
      <c r="E31" s="48">
        <v>36900</v>
      </c>
      <c r="F31" s="48">
        <v>48414</v>
      </c>
      <c r="G31" s="48"/>
      <c r="H31" s="48">
        <f>'Spec. Konton-RES.ENH'!H31</f>
        <v>36900</v>
      </c>
      <c r="I31" s="48">
        <v>9491</v>
      </c>
      <c r="J31" s="48">
        <f>'Spec. Konton-RES.ENH'!J31</f>
        <v>49900</v>
      </c>
      <c r="K31" s="48">
        <v>0</v>
      </c>
      <c r="L31" s="48">
        <f>'Spec. Konton-RES.ENH'!L31</f>
        <v>41400</v>
      </c>
      <c r="M31" s="48">
        <f>'Spec. Konton-RES.ENH'!M31</f>
        <v>26700</v>
      </c>
      <c r="N31" s="48">
        <f>'Spec. Konton-RES.ENH'!N31</f>
        <v>46900</v>
      </c>
      <c r="O31" s="48">
        <f>'Spec. Konton-RES.ENH'!O31</f>
        <v>43478</v>
      </c>
      <c r="P31" s="48">
        <f>'Spec. Konton-RES.ENH'!P31</f>
        <v>64200</v>
      </c>
      <c r="Q31" s="48">
        <f>'Spec. Konton-RES.ENH'!Q31</f>
        <v>101532</v>
      </c>
      <c r="R31" s="48">
        <f>'Spec. Konton-RES.ENH'!R31</f>
        <v>96775</v>
      </c>
    </row>
    <row r="32" spans="1:18" x14ac:dyDescent="0.2">
      <c r="A32" s="2" t="s">
        <v>65</v>
      </c>
      <c r="B32" s="48">
        <v>2200</v>
      </c>
      <c r="C32" s="144">
        <v>2260</v>
      </c>
      <c r="D32" s="48"/>
      <c r="E32" s="48">
        <v>2500</v>
      </c>
      <c r="F32" s="48">
        <v>1991</v>
      </c>
      <c r="G32" s="48"/>
      <c r="H32" s="48">
        <f>'Spec. Konton-RES.ENH'!H32</f>
        <v>2900</v>
      </c>
      <c r="I32" s="48">
        <v>2635</v>
      </c>
      <c r="J32" s="48">
        <f>'Spec. Konton-RES.ENH'!J32</f>
        <v>2900</v>
      </c>
      <c r="K32" s="48">
        <v>0</v>
      </c>
      <c r="L32" s="48">
        <f>'Spec. Konton-RES.ENH'!L32</f>
        <v>500</v>
      </c>
      <c r="M32" s="48">
        <f>'Spec. Konton-RES.ENH'!M32</f>
        <v>1372</v>
      </c>
      <c r="N32" s="48">
        <f>'Spec. Konton-RES.ENH'!N32</f>
        <v>900</v>
      </c>
      <c r="O32" s="48">
        <f>'Spec. Konton-RES.ENH'!O32</f>
        <v>4869</v>
      </c>
      <c r="P32" s="48">
        <f>'Spec. Konton-RES.ENH'!P32</f>
        <v>2400</v>
      </c>
      <c r="Q32" s="48">
        <f>'Spec. Konton-RES.ENH'!Q32</f>
        <v>275</v>
      </c>
      <c r="R32" s="48">
        <f>'Spec. Konton-RES.ENH'!R32</f>
        <v>900</v>
      </c>
    </row>
    <row r="33" spans="1:18" x14ac:dyDescent="0.2">
      <c r="A33" s="31" t="s">
        <v>66</v>
      </c>
      <c r="B33" s="48">
        <v>23500</v>
      </c>
      <c r="C33" s="144">
        <v>17699</v>
      </c>
      <c r="D33" s="48"/>
      <c r="E33" s="48">
        <v>21650</v>
      </c>
      <c r="F33" s="48">
        <v>36132</v>
      </c>
      <c r="G33" s="48"/>
      <c r="H33" s="48">
        <f>'Spec. Konton-RES.ENH'!H33</f>
        <v>21650</v>
      </c>
      <c r="I33" s="48">
        <v>27731</v>
      </c>
      <c r="J33" s="48">
        <f>'Spec. Konton-RES.ENH'!J33</f>
        <v>21650</v>
      </c>
      <c r="K33" s="48">
        <v>4949</v>
      </c>
      <c r="L33" s="48">
        <f>'Spec. Konton-RES.ENH'!L33</f>
        <v>25050</v>
      </c>
      <c r="M33" s="48">
        <f>'Spec. Konton-RES.ENH'!M33</f>
        <v>11300</v>
      </c>
      <c r="N33" s="48">
        <f>'Spec. Konton-RES.ENH'!N33</f>
        <v>24050</v>
      </c>
      <c r="O33" s="48">
        <f>'Spec. Konton-RES.ENH'!O33</f>
        <v>42030</v>
      </c>
      <c r="P33" s="48">
        <f>'Spec. Konton-RES.ENH'!P33</f>
        <v>17150</v>
      </c>
      <c r="Q33" s="48">
        <f>'Spec. Konton-RES.ENH'!Q33</f>
        <v>51215</v>
      </c>
      <c r="R33" s="48">
        <f>'Spec. Konton-RES.ENH'!R33</f>
        <v>47400</v>
      </c>
    </row>
    <row r="34" spans="1:18" x14ac:dyDescent="0.2">
      <c r="A34" s="31" t="s">
        <v>67</v>
      </c>
      <c r="B34" s="48">
        <v>7000</v>
      </c>
      <c r="C34" s="144">
        <v>6700</v>
      </c>
      <c r="D34" s="48"/>
      <c r="E34" s="48">
        <v>7000</v>
      </c>
      <c r="F34" s="48">
        <v>12820</v>
      </c>
      <c r="G34" s="48"/>
      <c r="H34" s="48">
        <f>'Spec. Konton-RES.ENH'!H34</f>
        <v>7000</v>
      </c>
      <c r="I34" s="48">
        <v>6925</v>
      </c>
      <c r="J34" s="48">
        <f>'Spec. Konton-RES.ENH'!J34</f>
        <v>7000</v>
      </c>
      <c r="K34" s="48">
        <v>0</v>
      </c>
      <c r="L34" s="48">
        <f>'Spec. Konton-RES.ENH'!L34</f>
        <v>9000</v>
      </c>
      <c r="M34" s="48">
        <f>'Spec. Konton-RES.ENH'!M34</f>
        <v>15200</v>
      </c>
      <c r="N34" s="48">
        <f>'Spec. Konton-RES.ENH'!N34</f>
        <v>5000</v>
      </c>
      <c r="O34" s="48">
        <f>'Spec. Konton-RES.ENH'!O34</f>
        <v>28764</v>
      </c>
      <c r="P34" s="48">
        <f>'Spec. Konton-RES.ENH'!P34</f>
        <v>4500</v>
      </c>
      <c r="Q34" s="48">
        <f>'Spec. Konton-RES.ENH'!Q34</f>
        <v>16950</v>
      </c>
      <c r="R34" s="48">
        <f>'Spec. Konton-RES.ENH'!R34</f>
        <v>3300</v>
      </c>
    </row>
    <row r="35" spans="1:18" x14ac:dyDescent="0.2">
      <c r="A35" s="32" t="s">
        <v>21</v>
      </c>
      <c r="B35" s="48">
        <v>8000</v>
      </c>
      <c r="C35" s="144">
        <v>8000</v>
      </c>
      <c r="D35" s="48"/>
      <c r="E35" s="48">
        <v>8000</v>
      </c>
      <c r="F35" s="48">
        <v>0</v>
      </c>
      <c r="G35" s="48"/>
      <c r="H35" s="48">
        <f>'Spec. Konton-RES.ENH'!H35</f>
        <v>9000</v>
      </c>
      <c r="I35" s="48">
        <v>0</v>
      </c>
      <c r="J35" s="48">
        <f>'Spec. Konton-RES.ENH'!J35</f>
        <v>19000</v>
      </c>
      <c r="K35" s="48">
        <v>0</v>
      </c>
      <c r="L35" s="48">
        <f>'Spec. Konton-RES.ENH'!L35</f>
        <v>19000</v>
      </c>
      <c r="M35" s="48">
        <f>'Spec. Konton-RES.ENH'!M35</f>
        <v>0</v>
      </c>
      <c r="N35" s="48">
        <f>'Spec. Konton-RES.ENH'!N35</f>
        <v>30000</v>
      </c>
      <c r="O35" s="48">
        <f>'Spec. Konton-RES.ENH'!O35</f>
        <v>13000</v>
      </c>
      <c r="P35" s="48">
        <f>'Spec. Konton-RES.ENH'!P35</f>
        <v>12000</v>
      </c>
      <c r="Q35" s="48">
        <f>'Spec. Konton-RES.ENH'!Q35</f>
        <v>12500</v>
      </c>
      <c r="R35" s="48">
        <f>'Spec. Konton-RES.ENH'!R35</f>
        <v>12500</v>
      </c>
    </row>
    <row r="36" spans="1:18" x14ac:dyDescent="0.2">
      <c r="A36" s="26" t="s">
        <v>68</v>
      </c>
      <c r="B36" s="48">
        <v>31000</v>
      </c>
      <c r="C36" s="144">
        <v>8400</v>
      </c>
      <c r="D36" s="48"/>
      <c r="E36" s="48">
        <v>12000</v>
      </c>
      <c r="F36" s="48">
        <v>9000</v>
      </c>
      <c r="G36" s="48"/>
      <c r="H36" s="48">
        <f>'Spec. Konton-RES.ENH'!H36</f>
        <v>12000</v>
      </c>
      <c r="I36" s="48">
        <v>17500</v>
      </c>
      <c r="J36" s="48">
        <f>'Spec. Konton-RES.ENH'!J36</f>
        <v>12000</v>
      </c>
      <c r="K36" s="48">
        <v>0</v>
      </c>
      <c r="L36" s="48">
        <f>'Spec. Konton-RES.ENH'!L36</f>
        <v>0</v>
      </c>
      <c r="M36" s="48">
        <f>'Spec. Konton-RES.ENH'!M36</f>
        <v>0</v>
      </c>
      <c r="N36" s="48">
        <f>'Spec. Konton-RES.ENH'!N36</f>
        <v>12000</v>
      </c>
      <c r="O36" s="48">
        <f>'Spec. Konton-RES.ENH'!O36</f>
        <v>0</v>
      </c>
      <c r="P36" s="48">
        <f>'Spec. Konton-RES.ENH'!P36</f>
        <v>0</v>
      </c>
      <c r="Q36" s="48">
        <f>'Spec. Konton-RES.ENH'!Q36</f>
        <v>0</v>
      </c>
      <c r="R36" s="48">
        <f>'Spec. Konton-RES.ENH'!R36</f>
        <v>0</v>
      </c>
    </row>
    <row r="37" spans="1:18" x14ac:dyDescent="0.2">
      <c r="A37" s="26" t="s">
        <v>69</v>
      </c>
      <c r="B37" s="48">
        <v>76400</v>
      </c>
      <c r="C37" s="144">
        <v>32650</v>
      </c>
      <c r="D37" s="48"/>
      <c r="E37" s="48">
        <v>48700</v>
      </c>
      <c r="F37" s="48">
        <v>24300</v>
      </c>
      <c r="G37" s="48"/>
      <c r="H37" s="48">
        <f>'Spec. Konton-RES.ENH'!H37</f>
        <v>48700</v>
      </c>
      <c r="I37" s="48">
        <v>25860</v>
      </c>
      <c r="J37" s="48">
        <f>'Spec. Konton-RES.ENH'!J37</f>
        <v>48700</v>
      </c>
      <c r="K37" s="48">
        <v>6500</v>
      </c>
      <c r="L37" s="48">
        <f>'Spec. Konton-RES.ENH'!L37</f>
        <v>31700</v>
      </c>
      <c r="M37" s="48">
        <f>'Spec. Konton-RES.ENH'!M37</f>
        <v>3150</v>
      </c>
      <c r="N37" s="48">
        <f>'Spec. Konton-RES.ENH'!N37</f>
        <v>26700</v>
      </c>
      <c r="O37" s="48">
        <f>'Spec. Konton-RES.ENH'!O37</f>
        <v>0</v>
      </c>
      <c r="P37" s="48">
        <f>'Spec. Konton-RES.ENH'!P37</f>
        <v>9200</v>
      </c>
      <c r="Q37" s="48">
        <f>'Spec. Konton-RES.ENH'!Q37</f>
        <v>14000</v>
      </c>
      <c r="R37" s="48">
        <f>'Spec. Konton-RES.ENH'!R37</f>
        <v>23200</v>
      </c>
    </row>
    <row r="38" spans="1:18" x14ac:dyDescent="0.2">
      <c r="A38" s="26" t="s">
        <v>70</v>
      </c>
      <c r="B38" s="48">
        <v>11000</v>
      </c>
      <c r="C38" s="144">
        <v>4455</v>
      </c>
      <c r="D38" s="48"/>
      <c r="E38" s="48">
        <v>1000</v>
      </c>
      <c r="F38" s="48">
        <v>0</v>
      </c>
      <c r="G38" s="48"/>
      <c r="H38" s="48">
        <f>'Spec. Konton-RES.ENH'!H38</f>
        <v>45600</v>
      </c>
      <c r="I38" s="48">
        <v>0</v>
      </c>
      <c r="J38" s="48">
        <f>'Spec. Konton-RES.ENH'!J38</f>
        <v>45600</v>
      </c>
      <c r="K38" s="48">
        <v>16052</v>
      </c>
      <c r="L38" s="48">
        <f>'Spec. Konton-RES.ENH'!L38</f>
        <v>49600</v>
      </c>
      <c r="M38" s="48">
        <f>'Spec. Konton-RES.ENH'!M38</f>
        <v>0</v>
      </c>
      <c r="N38" s="48">
        <f>'Spec. Konton-RES.ENH'!N38</f>
        <v>60600</v>
      </c>
      <c r="O38" s="48">
        <f>'Spec. Konton-RES.ENH'!O38</f>
        <v>13814</v>
      </c>
      <c r="P38" s="48">
        <f>'Spec. Konton-RES.ENH'!P38</f>
        <v>17800</v>
      </c>
      <c r="Q38" s="48">
        <f>'Spec. Konton-RES.ENH'!Q38</f>
        <v>8000</v>
      </c>
      <c r="R38" s="48">
        <f>'Spec. Konton-RES.ENH'!R38</f>
        <v>5000</v>
      </c>
    </row>
    <row r="39" spans="1:18" x14ac:dyDescent="0.2">
      <c r="A39" s="33" t="s">
        <v>71</v>
      </c>
      <c r="B39" s="48">
        <v>11900</v>
      </c>
      <c r="C39" s="144">
        <v>4774</v>
      </c>
      <c r="D39" s="48"/>
      <c r="E39" s="48">
        <v>5000</v>
      </c>
      <c r="F39" s="48">
        <v>4944</v>
      </c>
      <c r="G39" s="48"/>
      <c r="H39" s="48">
        <f>'Spec. Konton-RES.ENH'!H39</f>
        <v>8000</v>
      </c>
      <c r="I39" s="48">
        <v>7785</v>
      </c>
      <c r="J39" s="48">
        <f>'Spec. Konton-RES.ENH'!J39</f>
        <v>28000</v>
      </c>
      <c r="K39" s="48">
        <v>0</v>
      </c>
      <c r="L39" s="48">
        <f>'Spec. Konton-RES.ENH'!L39</f>
        <v>8000</v>
      </c>
      <c r="M39" s="48">
        <f>'Spec. Konton-RES.ENH'!M39</f>
        <v>19091</v>
      </c>
      <c r="N39" s="48">
        <f>'Spec. Konton-RES.ENH'!N39</f>
        <v>8000</v>
      </c>
      <c r="O39" s="48">
        <f>'Spec. Konton-RES.ENH'!O39</f>
        <v>44052</v>
      </c>
      <c r="P39" s="48">
        <f>'Spec. Konton-RES.ENH'!P39</f>
        <v>12000</v>
      </c>
      <c r="Q39" s="48">
        <f>'Spec. Konton-RES.ENH'!Q39</f>
        <v>18696</v>
      </c>
      <c r="R39" s="48">
        <f>'Spec. Konton-RES.ENH'!R39</f>
        <v>25500</v>
      </c>
    </row>
    <row r="40" spans="1:18" x14ac:dyDescent="0.2">
      <c r="A40" s="33" t="s">
        <v>22</v>
      </c>
      <c r="B40" s="48">
        <v>39200</v>
      </c>
      <c r="C40" s="144">
        <v>24183.5</v>
      </c>
      <c r="D40" s="48"/>
      <c r="E40" s="48">
        <v>80100</v>
      </c>
      <c r="F40" s="48">
        <v>64939</v>
      </c>
      <c r="G40" s="48"/>
      <c r="H40" s="48">
        <f>'Spec. Konton-RES.ENH'!H40</f>
        <v>65800</v>
      </c>
      <c r="I40" s="48">
        <v>19375</v>
      </c>
      <c r="J40" s="48">
        <f>'Spec. Konton-RES.ENH'!J40</f>
        <v>64300</v>
      </c>
      <c r="K40" s="48">
        <v>700</v>
      </c>
      <c r="L40" s="48">
        <f>'Spec. Konton-RES.ENH'!L40</f>
        <v>58300</v>
      </c>
      <c r="M40" s="48">
        <f>'Spec. Konton-RES.ENH'!M40</f>
        <v>16831</v>
      </c>
      <c r="N40" s="48">
        <f>'Spec. Konton-RES.ENH'!N40</f>
        <v>17300</v>
      </c>
      <c r="O40" s="48">
        <f>'Spec. Konton-RES.ENH'!O40</f>
        <v>-1000</v>
      </c>
      <c r="P40" s="48">
        <f>'Spec. Konton-RES.ENH'!P40</f>
        <v>36300</v>
      </c>
      <c r="Q40" s="48">
        <f>'Spec. Konton-RES.ENH'!Q40</f>
        <v>0</v>
      </c>
      <c r="R40" s="48">
        <f>'Spec. Konton-RES.ENH'!R40</f>
        <v>9500</v>
      </c>
    </row>
    <row r="41" spans="1:18" x14ac:dyDescent="0.2">
      <c r="A41" s="35" t="s">
        <v>76</v>
      </c>
      <c r="B41" s="48">
        <v>37900</v>
      </c>
      <c r="C41" s="144">
        <v>34250</v>
      </c>
      <c r="D41" s="48"/>
      <c r="E41" s="48">
        <v>40100</v>
      </c>
      <c r="F41" s="48">
        <v>21600</v>
      </c>
      <c r="G41" s="48"/>
      <c r="H41" s="48">
        <f>'Spec. Konton-RES.ENH'!H41</f>
        <v>41100</v>
      </c>
      <c r="I41" s="48">
        <v>32638</v>
      </c>
      <c r="J41" s="48">
        <f>'Spec. Konton-RES.ENH'!J41</f>
        <v>31100</v>
      </c>
      <c r="K41" s="48">
        <v>6000</v>
      </c>
      <c r="L41" s="48">
        <f>'Spec. Konton-RES.ENH'!L41</f>
        <v>19100</v>
      </c>
      <c r="M41" s="48">
        <f>'Spec. Konton-RES.ENH'!M41</f>
        <v>0</v>
      </c>
      <c r="N41" s="48">
        <f>'Spec. Konton-RES.ENH'!N41</f>
        <v>18600</v>
      </c>
      <c r="O41" s="48">
        <f>'Spec. Konton-RES.ENH'!O41</f>
        <v>0</v>
      </c>
      <c r="P41" s="48">
        <f>'Spec. Konton-RES.ENH'!P41</f>
        <v>16000</v>
      </c>
      <c r="Q41" s="48">
        <f>'Spec. Konton-RES.ENH'!Q41</f>
        <v>0</v>
      </c>
      <c r="R41" s="48">
        <f>'Spec. Konton-RES.ENH'!R41</f>
        <v>16000</v>
      </c>
    </row>
    <row r="42" spans="1:18" x14ac:dyDescent="0.2">
      <c r="A42" s="35" t="s">
        <v>176</v>
      </c>
      <c r="B42" s="48">
        <v>2500</v>
      </c>
      <c r="C42" s="144">
        <v>2566</v>
      </c>
      <c r="D42" s="48"/>
      <c r="E42" s="48">
        <v>0</v>
      </c>
      <c r="F42" s="48">
        <v>0</v>
      </c>
      <c r="G42" s="48"/>
      <c r="H42" s="48">
        <f>'Spec. Konton-RES.ENH'!H42</f>
        <v>0</v>
      </c>
      <c r="I42" s="48">
        <v>0</v>
      </c>
      <c r="J42" s="48">
        <f>'Spec. Konton-RES.ENH'!J42</f>
        <v>0</v>
      </c>
      <c r="K42" s="48">
        <v>0</v>
      </c>
      <c r="L42" s="48">
        <f>'Spec. Konton-RES.ENH'!L42</f>
        <v>0</v>
      </c>
      <c r="M42" s="48">
        <f>'Spec. Konton-RES.ENH'!M42</f>
        <v>0</v>
      </c>
      <c r="N42" s="48">
        <f>'Spec. Konton-RES.ENH'!N42</f>
        <v>0</v>
      </c>
      <c r="O42" s="48">
        <f>'Spec. Konton-RES.ENH'!O42</f>
        <v>0</v>
      </c>
      <c r="P42" s="48">
        <f>'Spec. Konton-RES.ENH'!P42</f>
        <v>0</v>
      </c>
      <c r="Q42" s="48">
        <f>'Spec. Konton-RES.ENH'!Q42</f>
        <v>0</v>
      </c>
      <c r="R42" s="48">
        <f>'Spec. Konton-RES.ENH'!R42</f>
        <v>0</v>
      </c>
    </row>
    <row r="43" spans="1:18" x14ac:dyDescent="0.2">
      <c r="A43" s="35" t="s">
        <v>205</v>
      </c>
      <c r="B43" s="48">
        <v>0</v>
      </c>
      <c r="C43" s="144">
        <v>0</v>
      </c>
      <c r="D43" s="48"/>
      <c r="E43" s="48">
        <v>0</v>
      </c>
      <c r="F43" s="48">
        <v>0</v>
      </c>
      <c r="G43" s="48"/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f>'Spec. Konton-RES.ENH'!M43</f>
        <v>10380</v>
      </c>
      <c r="N43" s="48">
        <f>'Spec. Konton-RES.ENH'!N43</f>
        <v>4000</v>
      </c>
      <c r="O43" s="48">
        <f>'Spec. Konton-RES.ENH'!O43</f>
        <v>0</v>
      </c>
      <c r="P43" s="48">
        <f>'Spec. Konton-RES.ENH'!P43</f>
        <v>4000</v>
      </c>
      <c r="Q43" s="48">
        <f>'Spec. Konton-RES.ENH'!Q43</f>
        <v>0</v>
      </c>
      <c r="R43" s="48">
        <f>'Spec. Konton-RES.ENH'!R43</f>
        <v>4000</v>
      </c>
    </row>
    <row r="44" spans="1:18" x14ac:dyDescent="0.2">
      <c r="A44" s="36" t="s">
        <v>78</v>
      </c>
      <c r="B44" s="48">
        <v>10500</v>
      </c>
      <c r="C44" s="144">
        <v>11893</v>
      </c>
      <c r="D44" s="48"/>
      <c r="E44" s="48">
        <v>5000</v>
      </c>
      <c r="F44" s="48">
        <v>5453</v>
      </c>
      <c r="G44" s="48"/>
      <c r="H44" s="48">
        <f>'Spec. Konton-RES.ENH'!H44</f>
        <v>3000</v>
      </c>
      <c r="I44" s="48">
        <v>8008</v>
      </c>
      <c r="J44" s="48">
        <f>'Spec. Konton-RES.ENH'!J44</f>
        <v>3000</v>
      </c>
      <c r="K44" s="48">
        <v>6428</v>
      </c>
      <c r="L44" s="48">
        <f>'Spec. Konton-RES.ENH'!L44</f>
        <v>6500</v>
      </c>
      <c r="M44" s="48">
        <f>'Spec. Konton-RES.ENH'!M44</f>
        <v>1283</v>
      </c>
      <c r="N44" s="48">
        <f>'Spec. Konton-RES.ENH'!N44</f>
        <v>2000</v>
      </c>
      <c r="O44" s="48">
        <f>'Spec. Konton-RES.ENH'!O44</f>
        <v>13081</v>
      </c>
      <c r="P44" s="48">
        <f>'Spec. Konton-RES.ENH'!P44</f>
        <v>4700</v>
      </c>
      <c r="Q44" s="48">
        <f>'Spec. Konton-RES.ENH'!Q44</f>
        <v>11926</v>
      </c>
      <c r="R44" s="48">
        <f>'Spec. Konton-RES.ENH'!R44</f>
        <v>8775</v>
      </c>
    </row>
    <row r="45" spans="1:18" x14ac:dyDescent="0.2">
      <c r="A45" s="36" t="s">
        <v>200</v>
      </c>
      <c r="B45" s="48">
        <v>0</v>
      </c>
      <c r="C45" s="144">
        <v>0</v>
      </c>
      <c r="D45" s="48"/>
      <c r="E45" s="48">
        <v>0</v>
      </c>
      <c r="F45" s="48">
        <v>0</v>
      </c>
      <c r="G45" s="48"/>
      <c r="H45" s="48">
        <v>0</v>
      </c>
      <c r="I45" s="48">
        <v>0</v>
      </c>
      <c r="J45" s="48">
        <v>0</v>
      </c>
      <c r="K45" s="48">
        <v>4374</v>
      </c>
      <c r="L45" s="48">
        <v>0</v>
      </c>
      <c r="M45" s="48">
        <f>'Spec. Konton-RES.ENH'!M45</f>
        <v>0</v>
      </c>
      <c r="N45" s="48">
        <v>0</v>
      </c>
      <c r="O45" s="48">
        <f>'Spec. Konton-RES.ENH'!O45</f>
        <v>1125</v>
      </c>
      <c r="P45" s="48">
        <f>'Spec. Konton-RES.ENH'!P45</f>
        <v>7500</v>
      </c>
      <c r="Q45" s="48">
        <f>'Spec. Konton-RES.ENH'!Q45</f>
        <v>0</v>
      </c>
      <c r="R45" s="48">
        <f>'Spec. Konton-RES.ENH'!R45</f>
        <v>0</v>
      </c>
    </row>
    <row r="46" spans="1:18" x14ac:dyDescent="0.2">
      <c r="A46" s="2" t="s">
        <v>23</v>
      </c>
      <c r="B46" s="48">
        <v>3000</v>
      </c>
      <c r="C46" s="144">
        <v>734</v>
      </c>
      <c r="D46" s="48"/>
      <c r="E46" s="48">
        <v>500</v>
      </c>
      <c r="F46" s="48">
        <v>12455</v>
      </c>
      <c r="G46" s="48"/>
      <c r="H46" s="48">
        <f>'Spec. Konton-RES.ENH'!H46</f>
        <v>3000</v>
      </c>
      <c r="I46" s="48">
        <v>483</v>
      </c>
      <c r="J46" s="48">
        <f>'Spec. Konton-RES.ENH'!J46</f>
        <v>6000</v>
      </c>
      <c r="K46" s="48">
        <v>1330</v>
      </c>
      <c r="L46" s="48">
        <f>'Spec. Konton-RES.ENH'!L46</f>
        <v>2000</v>
      </c>
      <c r="M46" s="48">
        <f>'Spec. Konton-RES.ENH'!M46</f>
        <v>10539</v>
      </c>
      <c r="N46" s="48">
        <f>'Spec. Konton-RES.ENH'!N46</f>
        <v>17000</v>
      </c>
      <c r="O46" s="48">
        <f>'Spec. Konton-RES.ENH'!O46</f>
        <v>12542</v>
      </c>
      <c r="P46" s="48">
        <f>'Spec. Konton-RES.ENH'!P46</f>
        <v>32200</v>
      </c>
      <c r="Q46" s="48">
        <f>'Spec. Konton-RES.ENH'!Q46</f>
        <v>19930</v>
      </c>
      <c r="R46" s="48">
        <f>'Spec. Konton-RES.ENH'!R46</f>
        <v>6000</v>
      </c>
    </row>
    <row r="47" spans="1:18" x14ac:dyDescent="0.2">
      <c r="A47" s="36" t="s">
        <v>72</v>
      </c>
      <c r="B47" s="48">
        <v>0</v>
      </c>
      <c r="C47" s="144">
        <v>0</v>
      </c>
      <c r="D47" s="48"/>
      <c r="E47" s="48">
        <v>0</v>
      </c>
      <c r="F47" s="48">
        <v>0</v>
      </c>
      <c r="G47" s="48"/>
      <c r="H47" s="48">
        <f>'Spec. Konton-RES.ENH'!H47</f>
        <v>16000</v>
      </c>
      <c r="I47" s="48">
        <v>0</v>
      </c>
      <c r="J47" s="48">
        <f>'Spec. Konton-RES.ENH'!J47</f>
        <v>16000</v>
      </c>
      <c r="K47" s="48">
        <v>23250</v>
      </c>
      <c r="L47" s="48">
        <f>'Spec. Konton-RES.ENH'!L47</f>
        <v>0</v>
      </c>
      <c r="M47" s="48">
        <f>'Spec. Konton-RES.ENH'!M47</f>
        <v>5600</v>
      </c>
      <c r="N47" s="48">
        <f>'Spec. Konton-RES.ENH'!N47</f>
        <v>16000</v>
      </c>
      <c r="O47" s="48">
        <f>'Spec. Konton-RES.ENH'!O47</f>
        <v>25898.75</v>
      </c>
      <c r="P47" s="48">
        <f>'Spec. Konton-RES.ENH'!P47</f>
        <v>16000</v>
      </c>
      <c r="Q47" s="48">
        <f>'Spec. Konton-RES.ENH'!Q47</f>
        <v>2863</v>
      </c>
      <c r="R47" s="48">
        <f>'Spec. Konton-RES.ENH'!R47</f>
        <v>0</v>
      </c>
    </row>
    <row r="48" spans="1:18" x14ac:dyDescent="0.2">
      <c r="A48" s="2" t="s">
        <v>73</v>
      </c>
      <c r="B48" s="48">
        <v>45240</v>
      </c>
      <c r="C48" s="144">
        <v>69224.100000000006</v>
      </c>
      <c r="D48" s="48"/>
      <c r="E48" s="48">
        <v>39100</v>
      </c>
      <c r="F48" s="48">
        <v>34658</v>
      </c>
      <c r="G48" s="48"/>
      <c r="H48" s="48">
        <f>'Spec. Konton-RES.ENH'!H48</f>
        <v>55000</v>
      </c>
      <c r="I48" s="48">
        <v>24375</v>
      </c>
      <c r="J48" s="48">
        <f>'Spec. Konton-RES.ENH'!J48</f>
        <v>55000</v>
      </c>
      <c r="K48" s="48">
        <f>284+4213</f>
        <v>4497</v>
      </c>
      <c r="L48" s="48">
        <f>'Spec. Konton-RES.ENH'!L48</f>
        <v>46100</v>
      </c>
      <c r="M48" s="48">
        <f>'Spec. Konton-RES.ENH'!M48</f>
        <v>21706</v>
      </c>
      <c r="N48" s="48">
        <f>'Spec. Konton-RES.ENH'!N48</f>
        <v>48100</v>
      </c>
      <c r="O48" s="48">
        <f>'Spec. Konton-RES.ENH'!O48</f>
        <v>53110</v>
      </c>
      <c r="P48" s="48">
        <f>'Spec. Konton-RES.ENH'!P48</f>
        <v>67000</v>
      </c>
      <c r="Q48" s="48">
        <f>'Spec. Konton-RES.ENH'!Q48</f>
        <v>41910</v>
      </c>
      <c r="R48" s="48">
        <f>'Spec. Konton-RES.ENH'!R48</f>
        <v>47600</v>
      </c>
    </row>
    <row r="49" spans="1:18" x14ac:dyDescent="0.2">
      <c r="A49" s="36" t="s">
        <v>79</v>
      </c>
      <c r="B49" s="48">
        <v>4000</v>
      </c>
      <c r="C49" s="144">
        <v>8154.6</v>
      </c>
      <c r="D49" s="48"/>
      <c r="E49" s="48">
        <v>5000</v>
      </c>
      <c r="F49" s="48">
        <v>12700</v>
      </c>
      <c r="G49" s="48"/>
      <c r="H49" s="48">
        <f>'Spec. Konton-RES.ENH'!H49</f>
        <v>5000</v>
      </c>
      <c r="I49" s="48">
        <v>369</v>
      </c>
      <c r="J49" s="48">
        <f>'Spec. Konton-RES.ENH'!J49</f>
        <v>5000</v>
      </c>
      <c r="K49" s="48">
        <v>169</v>
      </c>
      <c r="L49" s="48">
        <f>'Spec. Konton-RES.ENH'!L49</f>
        <v>1500</v>
      </c>
      <c r="M49" s="48">
        <f>'Spec. Konton-RES.ENH'!M49</f>
        <v>0</v>
      </c>
      <c r="N49" s="48">
        <f>'Spec. Konton-RES.ENH'!N49</f>
        <v>1000</v>
      </c>
      <c r="O49" s="48">
        <f>'Spec. Konton-RES.ENH'!O49</f>
        <v>498</v>
      </c>
      <c r="P49" s="48">
        <f>'Spec. Konton-RES.ENH'!P49</f>
        <v>1000</v>
      </c>
      <c r="Q49" s="48">
        <f>'Spec. Konton-RES.ENH'!Q49</f>
        <v>849</v>
      </c>
      <c r="R49" s="48">
        <f>'Spec. Konton-RES.ENH'!R49</f>
        <v>1000</v>
      </c>
    </row>
    <row r="50" spans="1:18" x14ac:dyDescent="0.2">
      <c r="A50" s="36" t="s">
        <v>173</v>
      </c>
      <c r="B50" s="48">
        <v>0</v>
      </c>
      <c r="C50" s="144">
        <v>140125</v>
      </c>
      <c r="D50" s="48"/>
      <c r="E50" s="48">
        <v>0</v>
      </c>
      <c r="F50" s="48">
        <v>0</v>
      </c>
      <c r="G50" s="48"/>
      <c r="H50" s="48">
        <f>'Spec. Konton-RES.ENH'!H50</f>
        <v>0</v>
      </c>
      <c r="I50" s="48">
        <v>0</v>
      </c>
      <c r="J50" s="48">
        <f>'Spec. Konton-RES.ENH'!J50</f>
        <v>0</v>
      </c>
      <c r="K50" s="48">
        <v>0</v>
      </c>
      <c r="L50" s="48">
        <f>'Spec. Konton-RES.ENH'!L50</f>
        <v>0</v>
      </c>
      <c r="M50" s="48">
        <f>'Spec. Konton-RES.ENH'!M50</f>
        <v>0</v>
      </c>
      <c r="N50" s="48">
        <f>'Spec. Konton-RES.ENH'!N50</f>
        <v>0</v>
      </c>
      <c r="O50" s="48">
        <f>'Spec. Konton-RES.ENH'!O50</f>
        <v>2184</v>
      </c>
      <c r="P50" s="48">
        <f>'Spec. Konton-RES.ENH'!P50</f>
        <v>0</v>
      </c>
      <c r="Q50" s="48">
        <f>'Spec. Konton-RES.ENH'!Q50</f>
        <v>1563</v>
      </c>
      <c r="R50" s="48">
        <f>'Spec. Konton-RES.ENH'!R50</f>
        <v>0</v>
      </c>
    </row>
    <row r="51" spans="1:18" x14ac:dyDescent="0.2">
      <c r="A51" s="36" t="s">
        <v>24</v>
      </c>
      <c r="B51" s="48">
        <v>17200</v>
      </c>
      <c r="C51" s="144">
        <v>20728.39</v>
      </c>
      <c r="D51" s="48"/>
      <c r="E51" s="48">
        <v>18200</v>
      </c>
      <c r="F51" s="48">
        <v>16733</v>
      </c>
      <c r="G51" s="48"/>
      <c r="H51" s="48">
        <f>'Spec. Konton-RES.ENH'!H51</f>
        <v>18200</v>
      </c>
      <c r="I51" s="48">
        <v>56397</v>
      </c>
      <c r="J51" s="48">
        <f>'Spec. Konton-RES.ENH'!J51</f>
        <v>77200</v>
      </c>
      <c r="K51" s="48">
        <v>21955</v>
      </c>
      <c r="L51" s="48">
        <f>'Spec. Konton-RES.ENH'!L51</f>
        <v>77200</v>
      </c>
      <c r="M51" s="48">
        <f>'Spec. Konton-RES.ENH'!M51</f>
        <v>34568</v>
      </c>
      <c r="N51" s="48">
        <f>'Spec. Konton-RES.ENH'!N51</f>
        <v>50200</v>
      </c>
      <c r="O51" s="48">
        <f>'Spec. Konton-RES.ENH'!O51</f>
        <v>59560.2</v>
      </c>
      <c r="P51" s="48">
        <f>'Spec. Konton-RES.ENH'!P51</f>
        <v>41200</v>
      </c>
      <c r="Q51" s="48">
        <f>'Spec. Konton-RES.ENH'!Q51</f>
        <v>24080</v>
      </c>
      <c r="R51" s="48">
        <f>'Spec. Konton-RES.ENH'!R51</f>
        <v>29000</v>
      </c>
    </row>
    <row r="52" spans="1:18" x14ac:dyDescent="0.2">
      <c r="A52" s="36" t="s">
        <v>74</v>
      </c>
      <c r="B52" s="48">
        <v>700</v>
      </c>
      <c r="C52" s="144">
        <v>4824</v>
      </c>
      <c r="D52" s="48"/>
      <c r="E52" s="48">
        <v>800</v>
      </c>
      <c r="F52" s="48">
        <v>2640</v>
      </c>
      <c r="G52" s="48"/>
      <c r="H52" s="48">
        <f>'Spec. Konton-RES.ENH'!H52</f>
        <v>500</v>
      </c>
      <c r="I52" s="48">
        <v>0</v>
      </c>
      <c r="J52" s="48">
        <f>'Spec. Konton-RES.ENH'!J52</f>
        <v>500</v>
      </c>
      <c r="K52" s="48">
        <v>11</v>
      </c>
      <c r="L52" s="48">
        <f>'Spec. Konton-RES.ENH'!L52</f>
        <v>0</v>
      </c>
      <c r="M52" s="48">
        <f>'Spec. Konton-RES.ENH'!M52</f>
        <v>0</v>
      </c>
      <c r="N52" s="48">
        <f>'Spec. Konton-RES.ENH'!N52</f>
        <v>250</v>
      </c>
      <c r="O52" s="48">
        <f>'Spec. Konton-RES.ENH'!O52</f>
        <v>52</v>
      </c>
      <c r="P52" s="48">
        <f>'Spec. Konton-RES.ENH'!P52</f>
        <v>100</v>
      </c>
      <c r="Q52" s="48">
        <f>'Spec. Konton-RES.ENH'!Q52</f>
        <v>0</v>
      </c>
      <c r="R52" s="48">
        <f>'Spec. Konton-RES.ENH'!R52</f>
        <v>100</v>
      </c>
    </row>
    <row r="53" spans="1:18" x14ac:dyDescent="0.2">
      <c r="A53" s="36" t="s">
        <v>25</v>
      </c>
      <c r="B53" s="48">
        <v>3000</v>
      </c>
      <c r="C53" s="144">
        <v>2676</v>
      </c>
      <c r="D53" s="48"/>
      <c r="E53" s="48">
        <v>3000</v>
      </c>
      <c r="F53" s="48">
        <v>2676</v>
      </c>
      <c r="G53" s="48"/>
      <c r="H53" s="48">
        <f>'Spec. Konton-RES.ENH'!H53</f>
        <v>3000</v>
      </c>
      <c r="I53" s="48">
        <v>2676</v>
      </c>
      <c r="J53" s="48">
        <f>'Spec. Konton-RES.ENH'!J53</f>
        <v>3000</v>
      </c>
      <c r="K53" s="48">
        <v>2676</v>
      </c>
      <c r="L53" s="48">
        <f>'Spec. Konton-RES.ENH'!L53</f>
        <v>3000</v>
      </c>
      <c r="M53" s="48">
        <f>'Spec. Konton-RES.ENH'!M53</f>
        <v>2676</v>
      </c>
      <c r="N53" s="48">
        <f>'Spec. Konton-RES.ENH'!N53</f>
        <v>2800</v>
      </c>
      <c r="O53" s="48">
        <f>'Spec. Konton-RES.ENH'!O53</f>
        <v>2676</v>
      </c>
      <c r="P53" s="48">
        <f>'Spec. Konton-RES.ENH'!P53</f>
        <v>2800</v>
      </c>
      <c r="Q53" s="48">
        <f>'Spec. Konton-RES.ENH'!Q53</f>
        <v>2899</v>
      </c>
      <c r="R53" s="48">
        <f>'Spec. Konton-RES.ENH'!R53</f>
        <v>3000</v>
      </c>
    </row>
    <row r="54" spans="1:18" x14ac:dyDescent="0.2">
      <c r="A54" s="2" t="s">
        <v>26</v>
      </c>
      <c r="B54" s="48">
        <v>32000</v>
      </c>
      <c r="C54" s="144">
        <v>10379</v>
      </c>
      <c r="D54" s="48"/>
      <c r="E54" s="48">
        <v>8000</v>
      </c>
      <c r="F54" s="48">
        <v>16425</v>
      </c>
      <c r="G54" s="48"/>
      <c r="H54" s="48">
        <f>'Spec. Konton-RES.ENH'!H54</f>
        <v>22000</v>
      </c>
      <c r="I54" s="48">
        <v>23216</v>
      </c>
      <c r="J54" s="48">
        <f>'Spec. Konton-RES.ENH'!J54</f>
        <v>22000</v>
      </c>
      <c r="K54" s="48">
        <v>1838</v>
      </c>
      <c r="L54" s="48">
        <f>'Spec. Konton-RES.ENH'!L54</f>
        <v>37500</v>
      </c>
      <c r="M54" s="48">
        <f>'Spec. Konton-RES.ENH'!M54</f>
        <v>9008</v>
      </c>
      <c r="N54" s="48">
        <f>'Spec. Konton-RES.ENH'!N54</f>
        <v>255000</v>
      </c>
      <c r="O54" s="48">
        <f>'Spec. Konton-RES.ENH'!O54</f>
        <v>914</v>
      </c>
      <c r="P54" s="48">
        <f>'Spec. Konton-RES.ENH'!P54</f>
        <v>154500</v>
      </c>
      <c r="Q54" s="48">
        <f>'Spec. Konton-RES.ENH'!Q54</f>
        <v>19078</v>
      </c>
      <c r="R54" s="48">
        <f>'Spec. Konton-RES.ENH'!R54</f>
        <v>154500</v>
      </c>
    </row>
    <row r="55" spans="1:18" x14ac:dyDescent="0.2">
      <c r="A55" s="32" t="s">
        <v>105</v>
      </c>
      <c r="B55" s="48">
        <v>57500</v>
      </c>
      <c r="C55" s="144">
        <v>42420</v>
      </c>
      <c r="D55" s="48"/>
      <c r="E55" s="48">
        <v>49000</v>
      </c>
      <c r="F55" s="48">
        <v>26800</v>
      </c>
      <c r="G55" s="48"/>
      <c r="H55" s="48">
        <f>'Spec. Konton-RES.ENH'!H55</f>
        <v>42000</v>
      </c>
      <c r="I55" s="48">
        <v>42000</v>
      </c>
      <c r="J55" s="48">
        <f>'Spec. Konton-RES.ENH'!J55</f>
        <v>42000</v>
      </c>
      <c r="K55" s="48">
        <v>42000</v>
      </c>
      <c r="L55" s="48">
        <f>'Spec. Konton-RES.ENH'!L55</f>
        <v>49000</v>
      </c>
      <c r="M55" s="48">
        <f>'Spec. Konton-RES.ENH'!M55</f>
        <v>49000</v>
      </c>
      <c r="N55" s="48">
        <f>'Spec. Konton-RES.ENH'!N55</f>
        <v>49000</v>
      </c>
      <c r="O55" s="48">
        <f>'Spec. Konton-RES.ENH'!O55</f>
        <v>42000</v>
      </c>
      <c r="P55" s="48">
        <f>'Spec. Konton-RES.ENH'!P55</f>
        <v>49000</v>
      </c>
      <c r="Q55" s="48">
        <f>'Spec. Konton-RES.ENH'!Q55</f>
        <v>56000</v>
      </c>
      <c r="R55" s="48">
        <f>'Spec. Konton-RES.ENH'!R55</f>
        <v>49000</v>
      </c>
    </row>
    <row r="56" spans="1:18" x14ac:dyDescent="0.2">
      <c r="A56" s="32" t="s">
        <v>27</v>
      </c>
      <c r="B56" s="48">
        <v>1000</v>
      </c>
      <c r="C56" s="144">
        <v>1000</v>
      </c>
      <c r="D56" s="48"/>
      <c r="E56" s="48">
        <v>1000</v>
      </c>
      <c r="F56" s="48">
        <v>0</v>
      </c>
      <c r="G56" s="48"/>
      <c r="H56" s="48">
        <f>'Spec. Konton-RES.ENH'!H56</f>
        <v>1000</v>
      </c>
      <c r="I56" s="48">
        <v>0</v>
      </c>
      <c r="J56" s="48">
        <f>'Spec. Konton-RES.ENH'!J56</f>
        <v>1000</v>
      </c>
      <c r="K56" s="48">
        <v>0</v>
      </c>
      <c r="L56" s="48">
        <f>'Spec. Konton-RES.ENH'!L56</f>
        <v>0</v>
      </c>
      <c r="M56" s="48">
        <f>'Spec. Konton-RES.ENH'!M56</f>
        <v>0</v>
      </c>
      <c r="N56" s="48">
        <f>'Spec. Konton-RES.ENH'!N56</f>
        <v>0</v>
      </c>
      <c r="O56" s="48">
        <f>'Spec. Konton-RES.ENH'!O56</f>
        <v>0</v>
      </c>
      <c r="P56" s="48">
        <f>'Spec. Konton-RES.ENH'!P56</f>
        <v>0</v>
      </c>
      <c r="Q56" s="48">
        <f>'Spec. Konton-RES.ENH'!Q56</f>
        <v>0</v>
      </c>
      <c r="R56" s="48">
        <f>'Spec. Konton-RES.ENH'!R56</f>
        <v>0</v>
      </c>
    </row>
    <row r="57" spans="1:18" hidden="1" x14ac:dyDescent="0.2">
      <c r="A57" s="32"/>
      <c r="B57" s="48"/>
      <c r="C57" s="144"/>
      <c r="D57" s="48"/>
      <c r="E57" s="48"/>
      <c r="F57" s="48"/>
      <c r="G57" s="48"/>
      <c r="H57" s="48">
        <f>'Spec. Konton-RES.ENH'!H57</f>
        <v>0</v>
      </c>
      <c r="I57" s="48"/>
      <c r="J57" s="48">
        <f>'Spec. Konton-RES.ENH'!J57</f>
        <v>0</v>
      </c>
      <c r="K57" s="48"/>
      <c r="L57" s="48">
        <f>'Spec. Konton-RES.ENH'!L57</f>
        <v>0</v>
      </c>
      <c r="M57" s="48">
        <f>'Spec. Konton-RES.ENH'!M57</f>
        <v>0</v>
      </c>
      <c r="N57" s="48">
        <f>'Spec. Konton-RES.ENH'!N57</f>
        <v>0</v>
      </c>
      <c r="O57" s="48">
        <f>'Spec. Konton-RES.ENH'!O57</f>
        <v>0</v>
      </c>
      <c r="P57" s="48">
        <f>'Spec. Konton-RES.ENH'!P57</f>
        <v>0</v>
      </c>
      <c r="Q57" s="48">
        <f>'Spec. Konton-RES.ENH'!Q57</f>
        <v>0</v>
      </c>
      <c r="R57" s="48">
        <f>'Spec. Konton-RES.ENH'!R57</f>
        <v>0</v>
      </c>
    </row>
    <row r="58" spans="1:18" x14ac:dyDescent="0.2">
      <c r="A58" s="36" t="s">
        <v>28</v>
      </c>
      <c r="B58" s="48">
        <v>1300</v>
      </c>
      <c r="C58" s="144">
        <v>1772</v>
      </c>
      <c r="D58" s="48"/>
      <c r="E58" s="48">
        <v>2500</v>
      </c>
      <c r="F58" s="48">
        <v>1890</v>
      </c>
      <c r="G58" s="48"/>
      <c r="H58" s="48">
        <f>'Spec. Konton-RES.ENH'!H58</f>
        <v>2000</v>
      </c>
      <c r="I58" s="48">
        <v>2099</v>
      </c>
      <c r="J58" s="48">
        <f>'Spec. Konton-RES.ENH'!J58</f>
        <v>2000</v>
      </c>
      <c r="K58" s="48">
        <v>1994</v>
      </c>
      <c r="L58" s="48">
        <f>'Spec. Konton-RES.ENH'!L58</f>
        <v>2200</v>
      </c>
      <c r="M58" s="48">
        <f>'Spec. Konton-RES.ENH'!M58</f>
        <v>2685</v>
      </c>
      <c r="N58" s="48">
        <f>'Spec. Konton-RES.ENH'!N58</f>
        <v>2800</v>
      </c>
      <c r="O58" s="48">
        <f>'Spec. Konton-RES.ENH'!O58</f>
        <v>3030.63</v>
      </c>
      <c r="P58" s="48">
        <f>'Spec. Konton-RES.ENH'!P58</f>
        <v>3000</v>
      </c>
      <c r="Q58" s="48">
        <f>'Spec. Konton-RES.ENH'!Q58</f>
        <v>3898</v>
      </c>
      <c r="R58" s="48">
        <f>'Spec. Konton-RES.ENH'!R58</f>
        <v>4000</v>
      </c>
    </row>
    <row r="59" spans="1:18" x14ac:dyDescent="0.2">
      <c r="A59" s="34" t="s">
        <v>80</v>
      </c>
      <c r="B59" s="48">
        <v>135000</v>
      </c>
      <c r="C59" s="144">
        <v>128097</v>
      </c>
      <c r="D59" s="48"/>
      <c r="E59" s="48">
        <v>135000</v>
      </c>
      <c r="F59" s="49">
        <f>127992-6705</f>
        <v>121287</v>
      </c>
      <c r="G59" s="48"/>
      <c r="H59" s="48">
        <f>'Spec. Konton-RES.ENH'!H59</f>
        <v>50000</v>
      </c>
      <c r="I59" s="48"/>
      <c r="J59" s="48">
        <f>'Spec. Konton-RES.ENH'!J59</f>
        <v>25000</v>
      </c>
      <c r="K59" s="48">
        <v>0</v>
      </c>
      <c r="L59" s="48">
        <f>'Spec. Konton-RES.ENH'!L59</f>
        <v>0</v>
      </c>
      <c r="M59" s="48">
        <f>'Spec. Konton-RES.ENH'!M59</f>
        <v>30000</v>
      </c>
      <c r="N59" s="48">
        <f>'Spec. Konton-RES.ENH'!N59</f>
        <v>150000</v>
      </c>
      <c r="O59" s="48">
        <f>'Spec. Konton-RES.ENH'!O59</f>
        <v>150000</v>
      </c>
      <c r="P59" s="48">
        <f>'Spec. Konton-RES.ENH'!P59</f>
        <v>0</v>
      </c>
      <c r="Q59" s="48">
        <f>'Spec. Konton-RES.ENH'!Q59</f>
        <v>0</v>
      </c>
      <c r="R59" s="48">
        <f>'Spec. Konton-RES.ENH'!R59</f>
        <v>0</v>
      </c>
    </row>
    <row r="60" spans="1:18" x14ac:dyDescent="0.2">
      <c r="A60" s="39" t="s">
        <v>81</v>
      </c>
      <c r="B60" s="48">
        <v>16000</v>
      </c>
      <c r="C60" s="144">
        <v>15371</v>
      </c>
      <c r="D60" s="48"/>
      <c r="E60" s="48">
        <v>16000</v>
      </c>
      <c r="F60" s="49">
        <f>15360-805</f>
        <v>14555</v>
      </c>
      <c r="G60" s="48"/>
      <c r="H60" s="48">
        <f>'Spec. Konton-RES.ENH'!H60</f>
        <v>6000</v>
      </c>
      <c r="I60" s="48"/>
      <c r="J60" s="48">
        <f>'Spec. Konton-RES.ENH'!J60</f>
        <v>6000</v>
      </c>
      <c r="K60" s="48">
        <v>0</v>
      </c>
      <c r="L60" s="48">
        <f>'Spec. Konton-RES.ENH'!L60</f>
        <v>0</v>
      </c>
      <c r="M60" s="48">
        <f>'Spec. Konton-RES.ENH'!M60</f>
        <v>0</v>
      </c>
      <c r="N60" s="48">
        <f>'Spec. Konton-RES.ENH'!N60</f>
        <v>0</v>
      </c>
      <c r="O60" s="48">
        <f>'Spec. Konton-RES.ENH'!O60</f>
        <v>0</v>
      </c>
      <c r="P60" s="48">
        <f>'Spec. Konton-RES.ENH'!P60</f>
        <v>0</v>
      </c>
      <c r="Q60" s="48">
        <f>'Spec. Konton-RES.ENH'!Q60</f>
        <v>0</v>
      </c>
      <c r="R60" s="48">
        <f>'Spec. Konton-RES.ENH'!R60</f>
        <v>0</v>
      </c>
    </row>
    <row r="61" spans="1:18" x14ac:dyDescent="0.2">
      <c r="A61" s="39" t="s">
        <v>163</v>
      </c>
      <c r="B61" s="48">
        <v>7000</v>
      </c>
      <c r="C61" s="144">
        <v>6454</v>
      </c>
      <c r="D61" s="48"/>
      <c r="E61" s="48">
        <v>7000</v>
      </c>
      <c r="F61" s="48">
        <v>20134</v>
      </c>
      <c r="G61" s="48"/>
      <c r="H61" s="48">
        <f>'Spec. Konton-RES.ENH'!H61</f>
        <v>3500</v>
      </c>
      <c r="I61" s="48">
        <v>0</v>
      </c>
      <c r="J61" s="48">
        <f>'Spec. Konton-RES.ENH'!J61</f>
        <v>3500</v>
      </c>
      <c r="K61" s="48">
        <v>0</v>
      </c>
      <c r="L61" s="48">
        <f>'Spec. Konton-RES.ENH'!L61</f>
        <v>0</v>
      </c>
      <c r="M61" s="48">
        <f>'Spec. Konton-RES.ENH'!M61</f>
        <v>0</v>
      </c>
      <c r="N61" s="48">
        <f>'Spec. Konton-RES.ENH'!N61</f>
        <v>0</v>
      </c>
      <c r="O61" s="48">
        <f>'Spec. Konton-RES.ENH'!O61</f>
        <v>0</v>
      </c>
      <c r="P61" s="48">
        <f>'Spec. Konton-RES.ENH'!P61</f>
        <v>0</v>
      </c>
      <c r="Q61" s="48">
        <f>'Spec. Konton-RES.ENH'!Q61</f>
        <v>0</v>
      </c>
      <c r="R61" s="48">
        <f>'Spec. Konton-RES.ENH'!R61</f>
        <v>0</v>
      </c>
    </row>
    <row r="62" spans="1:18" x14ac:dyDescent="0.2">
      <c r="A62" s="39" t="s">
        <v>206</v>
      </c>
      <c r="B62" s="48">
        <v>0</v>
      </c>
      <c r="C62" s="144">
        <v>0</v>
      </c>
      <c r="D62" s="48"/>
      <c r="E62" s="48">
        <v>0</v>
      </c>
      <c r="F62" s="48">
        <v>0</v>
      </c>
      <c r="G62" s="48"/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f>'Spec. Konton-RES.ENH'!M62</f>
        <v>-53</v>
      </c>
      <c r="N62" s="48">
        <v>0</v>
      </c>
      <c r="O62" s="48">
        <f>'Spec. Konton-RES.ENH'!O62</f>
        <v>0</v>
      </c>
      <c r="P62" s="48">
        <v>0</v>
      </c>
      <c r="Q62" s="48">
        <f>'Spec. Konton-RES.ENH'!Q62</f>
        <v>0</v>
      </c>
      <c r="R62" s="48">
        <f>'Spec. Konton-RES.ENH'!R62</f>
        <v>0</v>
      </c>
    </row>
    <row r="63" spans="1:18" x14ac:dyDescent="0.2">
      <c r="A63" s="39" t="s">
        <v>82</v>
      </c>
      <c r="B63" s="48">
        <v>45000</v>
      </c>
      <c r="C63" s="144">
        <v>47250</v>
      </c>
      <c r="D63" s="48"/>
      <c r="E63" s="48">
        <v>61500</v>
      </c>
      <c r="F63" s="49">
        <f>45033-253-2107</f>
        <v>42673</v>
      </c>
      <c r="G63" s="48"/>
      <c r="H63" s="48">
        <f>'Spec. Konton-RES.ENH'!H63</f>
        <v>34000</v>
      </c>
      <c r="I63" s="48"/>
      <c r="J63" s="48">
        <f>'Spec. Konton-RES.ENH'!J63</f>
        <v>24000</v>
      </c>
      <c r="K63" s="48">
        <v>0</v>
      </c>
      <c r="L63" s="48">
        <f>'Spec. Konton-RES.ENH'!L63</f>
        <v>0</v>
      </c>
      <c r="M63" s="48">
        <f>'Spec. Konton-RES.ENH'!M63</f>
        <v>9452</v>
      </c>
      <c r="N63" s="48">
        <f>'Spec. Konton-RES.ENH'!N63</f>
        <v>47000</v>
      </c>
      <c r="O63" s="48">
        <f>'Spec. Konton-RES.ENH'!O63</f>
        <v>53218</v>
      </c>
      <c r="P63" s="48">
        <f>'Spec. Konton-RES.ENH'!P63</f>
        <v>0</v>
      </c>
      <c r="Q63" s="48">
        <f>'Spec. Konton-RES.ENH'!Q63</f>
        <v>-918</v>
      </c>
      <c r="R63" s="48">
        <f>'Spec. Konton-RES.ENH'!R63</f>
        <v>0</v>
      </c>
    </row>
    <row r="64" spans="1:18" x14ac:dyDescent="0.2">
      <c r="A64" s="39" t="s">
        <v>85</v>
      </c>
      <c r="B64" s="48">
        <v>1500</v>
      </c>
      <c r="C64" s="144">
        <v>947</v>
      </c>
      <c r="D64" s="48"/>
      <c r="E64" s="48">
        <v>1000</v>
      </c>
      <c r="F64" s="48">
        <v>480</v>
      </c>
      <c r="G64" s="48"/>
      <c r="H64" s="48">
        <f>'Spec. Konton-RES.ENH'!H64</f>
        <v>1000</v>
      </c>
      <c r="I64" s="48">
        <v>396</v>
      </c>
      <c r="J64" s="48">
        <f>'Spec. Konton-RES.ENH'!J64</f>
        <v>1000</v>
      </c>
      <c r="K64" s="48">
        <v>0</v>
      </c>
      <c r="L64" s="48">
        <f>'Spec. Konton-RES.ENH'!L64</f>
        <v>0</v>
      </c>
      <c r="M64" s="48">
        <f>'Spec. Konton-RES.ENH'!M64</f>
        <v>200</v>
      </c>
      <c r="N64" s="48">
        <f>'Spec. Konton-RES.ENH'!N64</f>
        <v>2000</v>
      </c>
      <c r="O64" s="48">
        <f>'Spec. Konton-RES.ENH'!O64</f>
        <v>2647</v>
      </c>
      <c r="P64" s="48">
        <f>'Spec. Konton-RES.ENH'!P64</f>
        <v>1000</v>
      </c>
      <c r="Q64" s="48">
        <f>'Spec. Konton-RES.ENH'!Q64</f>
        <v>-972</v>
      </c>
      <c r="R64" s="48">
        <f>'Spec. Konton-RES.ENH'!R64</f>
        <v>0</v>
      </c>
    </row>
    <row r="65" spans="1:18" x14ac:dyDescent="0.2">
      <c r="A65" s="39" t="s">
        <v>83</v>
      </c>
      <c r="B65" s="48">
        <v>400</v>
      </c>
      <c r="C65" s="144">
        <v>360</v>
      </c>
      <c r="D65" s="48"/>
      <c r="E65" s="48">
        <v>400</v>
      </c>
      <c r="F65" s="48">
        <v>50</v>
      </c>
      <c r="G65" s="48"/>
      <c r="H65" s="48">
        <f>'Spec. Konton-RES.ENH'!H65</f>
        <v>400</v>
      </c>
      <c r="I65" s="48"/>
      <c r="J65" s="48">
        <f>'Spec. Konton-RES.ENH'!J65</f>
        <v>400</v>
      </c>
      <c r="K65" s="48">
        <v>0</v>
      </c>
      <c r="L65" s="48">
        <f>'Spec. Konton-RES.ENH'!L65</f>
        <v>0</v>
      </c>
      <c r="M65" s="48">
        <f>'Spec. Konton-RES.ENH'!M65</f>
        <v>0</v>
      </c>
      <c r="N65" s="48">
        <f>'Spec. Konton-RES.ENH'!N65</f>
        <v>0</v>
      </c>
      <c r="O65" s="48">
        <f>'Spec. Konton-RES.ENH'!O65</f>
        <v>0</v>
      </c>
      <c r="P65" s="48">
        <f>'Spec. Konton-RES.ENH'!P65</f>
        <v>0</v>
      </c>
      <c r="Q65" s="48">
        <f>'Spec. Konton-RES.ENH'!Q65</f>
        <v>0</v>
      </c>
      <c r="R65" s="48">
        <f>'Spec. Konton-RES.ENH'!R65</f>
        <v>0</v>
      </c>
    </row>
    <row r="66" spans="1:18" x14ac:dyDescent="0.2">
      <c r="A66" s="34" t="s">
        <v>84</v>
      </c>
      <c r="B66" s="48">
        <v>0</v>
      </c>
      <c r="C66" s="144">
        <v>2027</v>
      </c>
      <c r="D66" s="48"/>
      <c r="E66" s="48">
        <v>0</v>
      </c>
      <c r="F66" s="48">
        <v>0</v>
      </c>
      <c r="G66" s="48"/>
      <c r="H66" s="48">
        <v>0</v>
      </c>
      <c r="I66" s="48"/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f>'Spec. Konton-RES.ENH'!O66</f>
        <v>0</v>
      </c>
      <c r="P66" s="48">
        <v>0</v>
      </c>
      <c r="Q66" s="48">
        <f>'Spec. Konton-RES.ENH'!Q66</f>
        <v>0</v>
      </c>
      <c r="R66" s="48">
        <f>'Spec. Konton-RES.ENH'!R66</f>
        <v>0</v>
      </c>
    </row>
    <row r="67" spans="1:18" x14ac:dyDescent="0.2">
      <c r="A67" s="2" t="s">
        <v>106</v>
      </c>
      <c r="B67" s="48">
        <v>-5000</v>
      </c>
      <c r="C67" s="144">
        <v>-6738.04</v>
      </c>
      <c r="D67" s="48"/>
      <c r="E67" s="48">
        <v>-6000</v>
      </c>
      <c r="F67" s="48">
        <v>-3335</v>
      </c>
      <c r="G67" s="48"/>
      <c r="H67" s="48">
        <f>'Spec. Konton-RES.ENH'!H67</f>
        <v>-4000</v>
      </c>
      <c r="I67" s="48">
        <v>-4931</v>
      </c>
      <c r="J67" s="48">
        <f>'Spec. Konton-RES.ENH'!J67</f>
        <v>-4000</v>
      </c>
      <c r="K67" s="48">
        <v>-4170</v>
      </c>
      <c r="L67" s="48">
        <f>'Spec. Konton-RES.ENH'!L67</f>
        <v>-4000</v>
      </c>
      <c r="M67" s="48">
        <f>'Spec. Konton-RES.ENH'!M67</f>
        <v>-4922</v>
      </c>
      <c r="N67" s="48">
        <f>'Spec. Konton-RES.ENH'!N67</f>
        <v>-4500</v>
      </c>
      <c r="O67" s="48">
        <f>'Spec. Konton-RES.ENH'!O67</f>
        <v>-8501.74</v>
      </c>
      <c r="P67" s="48">
        <f>'Spec. Konton-RES.ENH'!P67</f>
        <v>-15000</v>
      </c>
      <c r="Q67" s="48">
        <f>'Spec. Konton-RES.ENH'!Q67</f>
        <v>-59299</v>
      </c>
      <c r="R67" s="48">
        <f>'Spec. Konton-RES.ENH'!R67</f>
        <v>-35000</v>
      </c>
    </row>
    <row r="68" spans="1:18" x14ac:dyDescent="0.2">
      <c r="A68" s="37" t="s">
        <v>110</v>
      </c>
      <c r="B68" s="48">
        <v>1000</v>
      </c>
      <c r="C68" s="144">
        <v>1000</v>
      </c>
      <c r="D68" s="48"/>
      <c r="E68" s="48">
        <v>1000</v>
      </c>
      <c r="F68" s="48">
        <v>1000</v>
      </c>
      <c r="G68" s="48"/>
      <c r="H68" s="48">
        <f>'Spec. Konton-RES.ENH'!H68</f>
        <v>1000</v>
      </c>
      <c r="I68" s="48"/>
      <c r="J68" s="48">
        <f>'Spec. Konton-RES.ENH'!J68</f>
        <v>1000</v>
      </c>
      <c r="K68" s="48"/>
      <c r="L68" s="48">
        <f>'Spec. Konton-RES.ENH'!L68</f>
        <v>0</v>
      </c>
      <c r="M68" s="48">
        <f>'Spec. Konton-RES.ENH'!M68</f>
        <v>0</v>
      </c>
      <c r="N68" s="48">
        <f>'Spec. Konton-RES.ENH'!N68</f>
        <v>0</v>
      </c>
      <c r="O68" s="48">
        <f>'Spec. Konton-RES.ENH'!O68</f>
        <v>0</v>
      </c>
      <c r="P68" s="48">
        <f>'Spec. Konton-RES.ENH'!P68</f>
        <v>0</v>
      </c>
      <c r="Q68" s="48">
        <f>'Spec. Konton-RES.ENH'!Q68</f>
        <v>0</v>
      </c>
      <c r="R68" s="48">
        <f>'Spec. Konton-RES.ENH'!R68</f>
        <v>0</v>
      </c>
    </row>
    <row r="69" spans="1:18" x14ac:dyDescent="0.2">
      <c r="A69" s="37" t="s">
        <v>109</v>
      </c>
      <c r="B69" s="48">
        <v>0</v>
      </c>
      <c r="C69" s="144">
        <v>1500</v>
      </c>
      <c r="D69" s="48"/>
      <c r="E69" s="48">
        <v>3000</v>
      </c>
      <c r="F69" s="48"/>
      <c r="G69" s="48"/>
      <c r="H69" s="48">
        <f>'Spec. Konton-RES.ENH'!H69</f>
        <v>3000</v>
      </c>
      <c r="I69" s="48"/>
      <c r="J69" s="48">
        <f>'Spec. Konton-RES.ENH'!J69</f>
        <v>3000</v>
      </c>
      <c r="K69" s="48"/>
      <c r="L69" s="48">
        <f>'Spec. Konton-RES.ENH'!L69</f>
        <v>0</v>
      </c>
      <c r="M69" s="48">
        <f>'Spec. Konton-RES.ENH'!M69</f>
        <v>0</v>
      </c>
      <c r="N69" s="48">
        <f>'Spec. Konton-RES.ENH'!N69</f>
        <v>0</v>
      </c>
      <c r="O69" s="48">
        <f>'Spec. Konton-RES.ENH'!O69</f>
        <v>0</v>
      </c>
      <c r="P69" s="48">
        <f>'Spec. Konton-RES.ENH'!P69</f>
        <v>0</v>
      </c>
      <c r="Q69" s="48">
        <f>'Spec. Konton-RES.ENH'!Q69</f>
        <v>0</v>
      </c>
      <c r="R69" s="48">
        <f>'Spec. Konton-RES.ENH'!R69</f>
        <v>0</v>
      </c>
    </row>
    <row r="70" spans="1:18" x14ac:dyDescent="0.2">
      <c r="A70" s="38" t="s">
        <v>108</v>
      </c>
      <c r="B70" s="67">
        <v>0</v>
      </c>
      <c r="C70" s="146">
        <v>0</v>
      </c>
      <c r="D70" s="68"/>
      <c r="E70" s="67">
        <v>3000</v>
      </c>
      <c r="F70" s="67"/>
      <c r="G70" s="67"/>
      <c r="H70" s="67">
        <f>'Spec. Konton-RES.ENH'!H70</f>
        <v>3000</v>
      </c>
      <c r="I70" s="67">
        <f>'Spec. Konton-RES.ENH'!K70</f>
        <v>0</v>
      </c>
      <c r="J70" s="67">
        <f>'Spec. Konton-RES.ENH'!J70</f>
        <v>3000</v>
      </c>
      <c r="K70" s="67"/>
      <c r="L70" s="67">
        <f>'Spec. Konton-RES.ENH'!L70</f>
        <v>0</v>
      </c>
      <c r="M70" s="67">
        <f>'Spec. Konton-RES.ENH'!M70</f>
        <v>0</v>
      </c>
      <c r="N70" s="67">
        <f>'Spec. Konton-RES.ENH'!N70</f>
        <v>0</v>
      </c>
      <c r="O70" s="170">
        <f>'Spec. Konton-RES.ENH'!O70</f>
        <v>0</v>
      </c>
      <c r="P70" s="67">
        <f>'Spec. Konton-RES.ENH'!P70</f>
        <v>0</v>
      </c>
      <c r="Q70" s="67">
        <f>'Spec. Konton-RES.ENH'!Q70</f>
        <v>0</v>
      </c>
      <c r="R70" s="67">
        <f>'Spec. Konton-RES.ENH'!R70</f>
        <v>0</v>
      </c>
    </row>
    <row r="71" spans="1:18" s="1" customFormat="1" x14ac:dyDescent="0.2">
      <c r="A71" s="1" t="s">
        <v>32</v>
      </c>
      <c r="B71" s="49">
        <f>SUM(B29:B70)</f>
        <v>920400</v>
      </c>
      <c r="C71" s="147">
        <f>SUM(C29:C70)</f>
        <v>869656.54999999993</v>
      </c>
      <c r="D71" s="49"/>
      <c r="E71" s="49">
        <f>SUM(E29:E70)</f>
        <v>818350</v>
      </c>
      <c r="F71" s="49">
        <f>SUM(F29:F70)</f>
        <v>731743</v>
      </c>
      <c r="G71" s="49"/>
      <c r="H71" s="49">
        <f>SUM(H29:H70)</f>
        <v>808050</v>
      </c>
      <c r="I71" s="49">
        <f>SUM(I28:I70)</f>
        <v>513537</v>
      </c>
      <c r="J71" s="49">
        <f>SUM(J29:J70)</f>
        <v>910650</v>
      </c>
      <c r="K71" s="49">
        <f>SUM(K28:K70)</f>
        <v>152193</v>
      </c>
      <c r="L71" s="49">
        <f>SUM(L29:L70)</f>
        <v>837650</v>
      </c>
      <c r="M71" s="49">
        <f>SUM(M28:M70)</f>
        <v>410602</v>
      </c>
      <c r="N71" s="49">
        <f>SUM(N29:N70)</f>
        <v>1175300</v>
      </c>
      <c r="O71" s="49">
        <f>SUM(O28:O70)</f>
        <v>1010087.0399999999</v>
      </c>
      <c r="P71" s="49">
        <f>SUM(P28:P70)</f>
        <v>1124450</v>
      </c>
      <c r="Q71" s="49">
        <f>SUM(Q28:Q70)</f>
        <v>865981</v>
      </c>
      <c r="R71" s="49">
        <f>SUM(R28:R70)</f>
        <v>970750</v>
      </c>
    </row>
    <row r="72" spans="1:18" ht="8.25" customHeight="1" x14ac:dyDescent="0.2">
      <c r="B72" s="48"/>
      <c r="C72" s="148"/>
      <c r="D72" s="48"/>
      <c r="E72" s="48"/>
      <c r="F72" s="65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</row>
    <row r="73" spans="1:18" s="4" customFormat="1" ht="12" x14ac:dyDescent="0.2">
      <c r="A73" s="4" t="s">
        <v>5</v>
      </c>
      <c r="B73" s="62">
        <f>SUM(B26-B71)</f>
        <v>-158000</v>
      </c>
      <c r="C73" s="149">
        <f>SUM(C26-C71)</f>
        <v>-147534.60999999999</v>
      </c>
      <c r="D73" s="62"/>
      <c r="E73" s="62">
        <f>SUM(E26-E71)</f>
        <v>-102000</v>
      </c>
      <c r="F73" s="62">
        <f>SUM(F26-F71)</f>
        <v>-46858</v>
      </c>
      <c r="G73" s="62"/>
      <c r="H73" s="62">
        <f t="shared" ref="H73:M73" si="4">SUM(H26-H71)</f>
        <v>-91000</v>
      </c>
      <c r="I73" s="62">
        <f t="shared" si="4"/>
        <v>156975</v>
      </c>
      <c r="J73" s="62">
        <f t="shared" si="4"/>
        <v>-231600</v>
      </c>
      <c r="K73" s="62">
        <f t="shared" si="4"/>
        <v>186054</v>
      </c>
      <c r="L73" s="62">
        <f t="shared" si="4"/>
        <v>-85630</v>
      </c>
      <c r="M73" s="62">
        <f t="shared" si="4"/>
        <v>-116469</v>
      </c>
      <c r="N73" s="62">
        <f t="shared" ref="N73:O73" si="5">SUM(N26-N71)</f>
        <v>-546550</v>
      </c>
      <c r="O73" s="62">
        <f t="shared" si="5"/>
        <v>-352614.03999999992</v>
      </c>
      <c r="P73" s="62">
        <f t="shared" ref="P73:Q73" si="6">SUM(P26-P71)</f>
        <v>-196450</v>
      </c>
      <c r="Q73" s="62">
        <f t="shared" si="6"/>
        <v>-165338</v>
      </c>
      <c r="R73" s="62">
        <f t="shared" ref="R73" si="7">SUM(R26-R71)</f>
        <v>-252250</v>
      </c>
    </row>
    <row r="77" spans="1:18" x14ac:dyDescent="0.2">
      <c r="A77" s="57"/>
      <c r="B77" s="57"/>
      <c r="C77" s="57"/>
      <c r="D77" s="57"/>
      <c r="E77" s="57"/>
      <c r="F77" s="57"/>
      <c r="G77" s="57"/>
      <c r="H77" s="57"/>
    </row>
    <row r="80" spans="1:18" x14ac:dyDescent="0.2">
      <c r="E80" s="18"/>
      <c r="F80" s="19"/>
    </row>
    <row r="87" spans="1:5" x14ac:dyDescent="0.2">
      <c r="A87" s="5"/>
    </row>
    <row r="91" spans="1:5" ht="15" x14ac:dyDescent="0.2">
      <c r="A91"/>
      <c r="B91" s="69"/>
      <c r="C91" s="69"/>
      <c r="D91"/>
      <c r="E91" s="70"/>
    </row>
    <row r="92" spans="1:5" ht="15.75" x14ac:dyDescent="0.25">
      <c r="A92" s="71"/>
      <c r="B92" s="69"/>
      <c r="C92" s="69"/>
      <c r="D92" s="70"/>
      <c r="E92" s="70"/>
    </row>
    <row r="93" spans="1:5" ht="15" x14ac:dyDescent="0.2">
      <c r="A93" s="72"/>
      <c r="B93" s="69"/>
      <c r="C93" s="69"/>
      <c r="D93" s="70"/>
      <c r="E93" s="70"/>
    </row>
    <row r="94" spans="1:5" ht="15" x14ac:dyDescent="0.2">
      <c r="A94" s="72"/>
      <c r="B94" s="69"/>
      <c r="C94" s="69"/>
      <c r="D94" s="70"/>
      <c r="E94" s="70"/>
    </row>
    <row r="95" spans="1:5" ht="15" x14ac:dyDescent="0.2">
      <c r="A95" s="72"/>
      <c r="B95" s="69"/>
      <c r="C95" s="69"/>
      <c r="D95" s="70"/>
      <c r="E95" s="70"/>
    </row>
    <row r="96" spans="1:5" ht="15" x14ac:dyDescent="0.2">
      <c r="A96" s="72"/>
      <c r="B96" s="69"/>
      <c r="C96" s="69"/>
      <c r="D96" s="70"/>
      <c r="E96" s="70"/>
    </row>
    <row r="97" spans="1:5" ht="15" x14ac:dyDescent="0.2">
      <c r="A97" s="72"/>
      <c r="B97" s="69"/>
      <c r="C97" s="69"/>
      <c r="D97" s="70"/>
      <c r="E97" s="70"/>
    </row>
    <row r="98" spans="1:5" ht="15" x14ac:dyDescent="0.2">
      <c r="A98" s="72"/>
      <c r="B98" s="69"/>
      <c r="C98" s="69"/>
      <c r="D98" s="70"/>
      <c r="E98" s="7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R51"/>
  <sheetViews>
    <sheetView zoomScale="120" zoomScaleNormal="120" workbookViewId="0">
      <selection activeCell="R7" sqref="R7"/>
    </sheetView>
  </sheetViews>
  <sheetFormatPr defaultColWidth="8.88671875" defaultRowHeight="11.25" x14ac:dyDescent="0.2"/>
  <cols>
    <col min="1" max="1" width="14.21875" style="2" bestFit="1" customWidth="1"/>
    <col min="2" max="2" width="9.77734375" style="2" bestFit="1" customWidth="1"/>
    <col min="3" max="3" width="8.5546875" style="2" bestFit="1" customWidth="1"/>
    <col min="4" max="4" width="3.5546875" style="2" customWidth="1"/>
    <col min="5" max="5" width="9.77734375" style="2" bestFit="1" customWidth="1"/>
    <col min="6" max="6" width="9.5546875" style="7" bestFit="1" customWidth="1"/>
    <col min="7" max="7" width="2.5546875" style="2" customWidth="1"/>
    <col min="8" max="8" width="9.77734375" style="2" bestFit="1" customWidth="1"/>
    <col min="9" max="9" width="9.44140625" style="2" bestFit="1" customWidth="1"/>
    <col min="10" max="10" width="10.21875" style="2" bestFit="1" customWidth="1"/>
    <col min="11" max="11" width="8.88671875" style="2"/>
    <col min="12" max="12" width="10.33203125" style="2" customWidth="1"/>
    <col min="13" max="13" width="8.88671875" style="2"/>
    <col min="14" max="14" width="10" style="2" customWidth="1"/>
    <col min="15" max="15" width="10.88671875" style="2" customWidth="1"/>
    <col min="16" max="16" width="10.33203125" style="2" customWidth="1"/>
    <col min="17" max="17" width="8.88671875" style="2"/>
    <col min="18" max="18" width="10" style="2" customWidth="1"/>
    <col min="19" max="16384" width="8.88671875" style="2"/>
  </cols>
  <sheetData>
    <row r="1" spans="1:18" s="4" customFormat="1" ht="12.75" x14ac:dyDescent="0.2">
      <c r="A1" s="187" t="s">
        <v>33</v>
      </c>
      <c r="B1" s="187"/>
      <c r="C1" s="74"/>
      <c r="D1" s="40"/>
      <c r="E1" s="40"/>
      <c r="F1" s="41"/>
      <c r="G1" s="40"/>
      <c r="H1" s="40"/>
      <c r="I1" s="40"/>
    </row>
    <row r="2" spans="1:18" ht="16.5" customHeight="1" x14ac:dyDescent="0.2">
      <c r="A2" s="12" t="s">
        <v>14</v>
      </c>
      <c r="B2" s="12"/>
      <c r="C2" s="12"/>
      <c r="D2" s="12"/>
      <c r="E2" s="12"/>
      <c r="F2" s="42"/>
      <c r="G2" s="12"/>
      <c r="H2" s="12"/>
      <c r="I2" s="12"/>
    </row>
    <row r="3" spans="1:18" ht="12.75" x14ac:dyDescent="0.2">
      <c r="A3" s="40" t="s">
        <v>15</v>
      </c>
      <c r="B3" s="12"/>
      <c r="C3" s="12"/>
      <c r="D3" s="12"/>
      <c r="E3" s="12"/>
      <c r="F3" s="42"/>
      <c r="G3" s="12"/>
      <c r="H3" s="12"/>
      <c r="I3" s="12"/>
    </row>
    <row r="4" spans="1:18" ht="12.75" x14ac:dyDescent="0.2">
      <c r="A4" s="40"/>
      <c r="B4" s="12"/>
      <c r="C4" s="12"/>
      <c r="D4" s="12"/>
      <c r="E4" s="12"/>
      <c r="F4" s="42"/>
      <c r="G4" s="12"/>
      <c r="H4" s="12"/>
      <c r="I4" s="12"/>
    </row>
    <row r="5" spans="1:18" ht="12.75" x14ac:dyDescent="0.2">
      <c r="A5" s="12"/>
      <c r="B5" s="40" t="s">
        <v>151</v>
      </c>
      <c r="C5" s="43" t="s">
        <v>188</v>
      </c>
      <c r="D5" s="40"/>
      <c r="E5" s="40" t="s">
        <v>167</v>
      </c>
      <c r="F5" s="43" t="s">
        <v>189</v>
      </c>
      <c r="G5" s="40"/>
      <c r="H5" s="40" t="s">
        <v>178</v>
      </c>
      <c r="I5" s="43" t="s">
        <v>181</v>
      </c>
      <c r="J5" s="40" t="s">
        <v>186</v>
      </c>
      <c r="K5" s="43" t="s">
        <v>187</v>
      </c>
      <c r="L5" s="40" t="s">
        <v>193</v>
      </c>
      <c r="M5" s="43" t="s">
        <v>201</v>
      </c>
      <c r="N5" s="43" t="s">
        <v>202</v>
      </c>
      <c r="O5" s="43" t="s">
        <v>210</v>
      </c>
      <c r="P5" s="43" t="s">
        <v>208</v>
      </c>
      <c r="Q5" s="43" t="s">
        <v>214</v>
      </c>
      <c r="R5" s="43" t="s">
        <v>215</v>
      </c>
    </row>
    <row r="6" spans="1:18" ht="12.75" x14ac:dyDescent="0.2">
      <c r="A6" s="12"/>
      <c r="B6" s="40"/>
      <c r="C6" s="41"/>
      <c r="D6" s="40"/>
      <c r="E6" s="12"/>
      <c r="F6" s="12"/>
      <c r="G6" s="40"/>
      <c r="H6" s="12"/>
      <c r="I6" s="56"/>
      <c r="J6" s="57"/>
      <c r="L6" s="57"/>
    </row>
    <row r="7" spans="1:18" ht="12.75" x14ac:dyDescent="0.2">
      <c r="A7" s="12" t="s">
        <v>86</v>
      </c>
      <c r="B7" s="76">
        <f>SUM('Spec. Konton'!B6:B11)</f>
        <v>128900</v>
      </c>
      <c r="C7" s="76">
        <f>SUM('Spec. Konton'!C6:C11)</f>
        <v>124025</v>
      </c>
      <c r="D7" s="76"/>
      <c r="E7" s="76">
        <f>SUM('Spec. Konton'!E6:E11)</f>
        <v>131200</v>
      </c>
      <c r="F7" s="76">
        <f>SUM('Spec. Konton'!F6:F11)</f>
        <v>121090</v>
      </c>
      <c r="G7" s="45"/>
      <c r="H7" s="76">
        <f>SUM('Spec. Konton'!H6:H11)</f>
        <v>125600</v>
      </c>
      <c r="I7" s="76">
        <f>SUM('Spec. Konton'!I6:I11)</f>
        <v>119170</v>
      </c>
      <c r="J7" s="76">
        <f>SUM('Spec. Konton'!J6:J11)</f>
        <v>90600</v>
      </c>
      <c r="K7" s="76">
        <f>SUM('Spec. Konton'!K6:K11)</f>
        <v>68050</v>
      </c>
      <c r="L7" s="76">
        <f>SUM('Spec. Konton'!L6:L11)</f>
        <v>70000</v>
      </c>
      <c r="M7" s="76">
        <f>SUM('Spec. Konton'!M6:M11)</f>
        <v>58050</v>
      </c>
      <c r="N7" s="76">
        <f>SUM('Spec. Konton'!N6:N11)</f>
        <v>90000</v>
      </c>
      <c r="O7" s="76">
        <f>SUM('Spec. Konton'!O6:O11)</f>
        <v>98370</v>
      </c>
      <c r="P7" s="76">
        <f>SUM('Spec. Konton'!P6:P11)</f>
        <v>140000</v>
      </c>
      <c r="Q7" s="76">
        <f>SUM('Spec. Konton'!Q6:Q11)</f>
        <v>128725</v>
      </c>
      <c r="R7" s="76">
        <f>SUM('Spec. Konton'!R6:R11)</f>
        <v>135000</v>
      </c>
    </row>
    <row r="8" spans="1:18" ht="12.75" x14ac:dyDescent="0.2">
      <c r="A8" s="12" t="s">
        <v>35</v>
      </c>
      <c r="B8" s="76">
        <f>SUM('Spec. Konton'!B12:B13)</f>
        <v>76000</v>
      </c>
      <c r="C8" s="76">
        <f>SUM('Spec. Konton'!C12:C13)</f>
        <v>77130</v>
      </c>
      <c r="D8" s="76"/>
      <c r="E8" s="76">
        <f>SUM('Spec. Konton'!E12:E13)</f>
        <v>90000</v>
      </c>
      <c r="F8" s="76">
        <f>SUM('Spec. Konton'!F12:F13)</f>
        <v>95000</v>
      </c>
      <c r="G8" s="45"/>
      <c r="H8" s="76">
        <f>SUM('Spec. Konton'!H12:H13)</f>
        <v>92000</v>
      </c>
      <c r="I8" s="76">
        <f>SUM('Spec. Konton'!I12:I13)</f>
        <v>92000</v>
      </c>
      <c r="J8" s="76">
        <f>SUM('Spec. Konton'!J12:J13)</f>
        <v>92000</v>
      </c>
      <c r="K8" s="76">
        <f>SUM('Spec. Konton'!K12:K13)</f>
        <v>75000</v>
      </c>
      <c r="L8" s="76">
        <f>SUM('Spec. Konton'!L12:L13)</f>
        <v>20000</v>
      </c>
      <c r="M8" s="76">
        <f>SUM('Spec. Konton'!M12:M13)</f>
        <v>65835</v>
      </c>
      <c r="N8" s="76">
        <f>SUM('Spec. Konton'!N12:N13)</f>
        <v>65000</v>
      </c>
      <c r="O8" s="76">
        <f>SUM('Spec. Konton'!O12:O13)</f>
        <v>130680</v>
      </c>
      <c r="P8" s="76">
        <f>SUM('Spec. Konton'!P12:P13)</f>
        <v>65000</v>
      </c>
      <c r="Q8" s="76">
        <f>SUM('Spec. Konton'!Q12:Q13)</f>
        <v>126905</v>
      </c>
      <c r="R8" s="76">
        <f>SUM('Spec. Konton'!R12:R13)</f>
        <v>125000</v>
      </c>
    </row>
    <row r="9" spans="1:18" ht="12.75" x14ac:dyDescent="0.2">
      <c r="A9" s="12" t="s">
        <v>98</v>
      </c>
      <c r="B9" s="76">
        <f>'Spec. Konton'!B14</f>
        <v>70000</v>
      </c>
      <c r="C9" s="76">
        <f>'Spec. Konton'!C14</f>
        <v>62885</v>
      </c>
      <c r="D9" s="76"/>
      <c r="E9" s="76">
        <f>'Spec. Konton'!E14</f>
        <v>60000</v>
      </c>
      <c r="F9" s="76">
        <f>'Spec. Konton'!F14</f>
        <v>72833</v>
      </c>
      <c r="G9" s="45"/>
      <c r="H9" s="76">
        <f>'Spec. Konton'!H14</f>
        <v>72000</v>
      </c>
      <c r="I9" s="76">
        <f>'Spec. Konton'!I14</f>
        <v>70125</v>
      </c>
      <c r="J9" s="76">
        <f>'Spec. Konton'!J14</f>
        <v>72000</v>
      </c>
      <c r="K9" s="76">
        <f>'Spec. Konton'!K14</f>
        <v>67417</v>
      </c>
      <c r="L9" s="76">
        <f>'Spec. Konton'!L14</f>
        <v>0</v>
      </c>
      <c r="M9" s="76">
        <f>'Spec. Konton'!M14</f>
        <v>0</v>
      </c>
      <c r="N9" s="76">
        <f>'Spec. Konton'!N14</f>
        <v>0</v>
      </c>
      <c r="O9" s="76">
        <f>'Spec. Konton'!O14</f>
        <v>0</v>
      </c>
      <c r="P9" s="76">
        <f>'Spec. Konton'!P14</f>
        <v>0</v>
      </c>
      <c r="Q9" s="76">
        <f>'Spec. Konton'!Q14</f>
        <v>0</v>
      </c>
      <c r="R9" s="76">
        <f>'Spec. Konton'!R14</f>
        <v>0</v>
      </c>
    </row>
    <row r="10" spans="1:18" ht="12.75" x14ac:dyDescent="0.2">
      <c r="A10" s="12" t="s">
        <v>100</v>
      </c>
      <c r="B10" s="76">
        <f>'Spec. Konton'!B15</f>
        <v>22500</v>
      </c>
      <c r="C10" s="76">
        <f>'Spec. Konton'!C15</f>
        <v>22500</v>
      </c>
      <c r="D10" s="76"/>
      <c r="E10" s="76">
        <f>'Spec. Konton'!E15</f>
        <v>37500</v>
      </c>
      <c r="F10" s="76">
        <f>'Spec. Konton'!F15</f>
        <v>37000</v>
      </c>
      <c r="G10" s="45"/>
      <c r="H10" s="76">
        <f>'Spec. Konton'!H15</f>
        <v>37500</v>
      </c>
      <c r="I10" s="76">
        <f>'Spec. Konton'!I15</f>
        <v>40500</v>
      </c>
      <c r="J10" s="76">
        <f>'Spec. Konton'!J15</f>
        <v>37500</v>
      </c>
      <c r="K10" s="76">
        <f>'Spec. Konton'!K15</f>
        <v>33500</v>
      </c>
      <c r="L10" s="76">
        <f>'Spec. Konton'!L15</f>
        <v>34000</v>
      </c>
      <c r="M10" s="76">
        <f>'Spec. Konton'!M15</f>
        <v>24500</v>
      </c>
      <c r="N10" s="76">
        <f>'Spec. Konton'!N15</f>
        <v>28000</v>
      </c>
      <c r="O10" s="76">
        <f>'Spec. Konton'!O15</f>
        <v>45000</v>
      </c>
      <c r="P10" s="76">
        <f>'Spec. Konton'!P15</f>
        <v>40000</v>
      </c>
      <c r="Q10" s="76">
        <f>'Spec. Konton'!Q15</f>
        <v>28000</v>
      </c>
      <c r="R10" s="76">
        <f>'Spec. Konton'!R15</f>
        <v>27500</v>
      </c>
    </row>
    <row r="11" spans="1:18" ht="12.75" x14ac:dyDescent="0.2">
      <c r="A11" s="12" t="s">
        <v>99</v>
      </c>
      <c r="B11" s="76">
        <f>'Spec. Konton'!B16</f>
        <v>12500</v>
      </c>
      <c r="C11" s="76">
        <f>'Spec. Konton'!C16</f>
        <v>12500</v>
      </c>
      <c r="D11" s="76"/>
      <c r="E11" s="76">
        <f>'Spec. Konton'!E16</f>
        <v>12500</v>
      </c>
      <c r="F11" s="76">
        <f>'Spec. Konton'!F16</f>
        <v>12500</v>
      </c>
      <c r="G11" s="45"/>
      <c r="H11" s="76">
        <f>'Spec. Konton'!H16</f>
        <v>11000</v>
      </c>
      <c r="I11" s="76">
        <f>'Spec. Konton'!I16</f>
        <v>10000</v>
      </c>
      <c r="J11" s="76">
        <f>'Spec. Konton'!J16</f>
        <v>11000</v>
      </c>
      <c r="K11" s="76">
        <f>'Spec. Konton'!K16</f>
        <v>-1000</v>
      </c>
      <c r="L11" s="76">
        <f>'Spec. Konton'!L16</f>
        <v>6500</v>
      </c>
      <c r="M11" s="76">
        <f>'Spec. Konton'!M16</f>
        <v>0</v>
      </c>
      <c r="N11" s="76">
        <f>'Spec. Konton'!N16</f>
        <v>5000</v>
      </c>
      <c r="O11" s="76">
        <f>'Spec. Konton'!O16</f>
        <v>0</v>
      </c>
      <c r="P11" s="76">
        <f>'Spec. Konton'!P16</f>
        <v>3000</v>
      </c>
      <c r="Q11" s="76">
        <f>'Spec. Konton'!Q16</f>
        <v>0</v>
      </c>
      <c r="R11" s="76">
        <f>'Spec. Konton'!R16</f>
        <v>3000</v>
      </c>
    </row>
    <row r="12" spans="1:18" ht="12.75" x14ac:dyDescent="0.2">
      <c r="A12" s="12" t="s">
        <v>101</v>
      </c>
      <c r="B12" s="76">
        <f>SUM('Spec. Konton'!B18:B20)</f>
        <v>368300</v>
      </c>
      <c r="C12" s="76">
        <f>SUM('Spec. Konton'!C18:C20)</f>
        <v>228182.94</v>
      </c>
      <c r="D12" s="76"/>
      <c r="E12" s="76">
        <f>SUM('Spec. Konton'!E18:E20)</f>
        <v>297450</v>
      </c>
      <c r="F12" s="76">
        <f>SUM('Spec. Konton'!F18:F20)</f>
        <v>213810</v>
      </c>
      <c r="G12" s="45"/>
      <c r="H12" s="76">
        <f>SUM('Spec. Konton'!H18:H20)</f>
        <v>315750</v>
      </c>
      <c r="I12" s="76">
        <f>SUM('Spec. Konton'!I18:I20)</f>
        <v>285385</v>
      </c>
      <c r="J12" s="76">
        <f>SUM('Spec. Konton'!J18:J20)</f>
        <v>315750</v>
      </c>
      <c r="K12" s="76">
        <f>SUM('Spec. Konton'!K17:K20)</f>
        <v>21720</v>
      </c>
      <c r="L12" s="76">
        <f>SUM('Spec. Konton'!L18:L20)</f>
        <v>548520</v>
      </c>
      <c r="M12" s="76">
        <f>SUM('Spec. Konton'!M17:M20)</f>
        <v>84280</v>
      </c>
      <c r="N12" s="76">
        <f>SUM('Spec. Konton'!N17:N20)</f>
        <v>280750</v>
      </c>
      <c r="O12" s="76">
        <f>SUM('Spec. Konton'!O17:O20)</f>
        <v>182248</v>
      </c>
      <c r="P12" s="76">
        <f>SUM('Spec. Konton'!P17:P20)</f>
        <v>460000</v>
      </c>
      <c r="Q12" s="76">
        <f>SUM('Spec. Konton'!Q17:Q20)</f>
        <v>278205</v>
      </c>
      <c r="R12" s="76">
        <f>SUM('Spec. Konton'!R17:R20)</f>
        <v>369000</v>
      </c>
    </row>
    <row r="13" spans="1:18" ht="12.75" x14ac:dyDescent="0.2">
      <c r="A13" s="12"/>
      <c r="B13" s="76"/>
      <c r="C13" s="76"/>
      <c r="D13" s="76"/>
      <c r="E13" s="76"/>
      <c r="F13" s="76"/>
      <c r="G13" s="45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</row>
    <row r="14" spans="1:18" ht="12.75" x14ac:dyDescent="0.2">
      <c r="A14" s="12" t="s">
        <v>88</v>
      </c>
      <c r="B14" s="76">
        <f>SUM('Spec. Konton'!B22:B24)</f>
        <v>84200</v>
      </c>
      <c r="C14" s="76">
        <f>SUM('Spec. Konton'!C22:C24)</f>
        <v>106957</v>
      </c>
      <c r="D14" s="76"/>
      <c r="E14" s="76">
        <f>SUM('Spec. Konton'!E22:E24)</f>
        <v>87700</v>
      </c>
      <c r="F14" s="76">
        <f>SUM('Spec. Konton'!F22:F24)</f>
        <v>119252</v>
      </c>
      <c r="G14" s="45"/>
      <c r="H14" s="76">
        <f>SUM('Spec. Konton'!H22:H24)</f>
        <v>60200</v>
      </c>
      <c r="I14" s="76">
        <f>SUM('Spec. Konton'!I22:I24)</f>
        <v>53582</v>
      </c>
      <c r="J14" s="76">
        <f>SUM('Spec. Konton'!J22:J24)</f>
        <v>60200</v>
      </c>
      <c r="K14" s="76">
        <f>SUM('Spec. Konton'!K22:K24)</f>
        <v>73091</v>
      </c>
      <c r="L14" s="76">
        <f>SUM('Spec. Konton'!L22:L24)</f>
        <v>73000</v>
      </c>
      <c r="M14" s="76">
        <f>SUM('Spec. Konton'!M22:M24)</f>
        <v>61468</v>
      </c>
      <c r="N14" s="76">
        <f>SUM('Spec. Konton'!N22:N24)</f>
        <v>160000</v>
      </c>
      <c r="O14" s="76">
        <f>SUM('Spec. Konton'!O22:O24)</f>
        <v>201175</v>
      </c>
      <c r="P14" s="76">
        <f>SUM('Spec. Konton'!P22:P24)</f>
        <v>220000</v>
      </c>
      <c r="Q14" s="76">
        <f>SUM('Spec. Konton'!Q22:Q24)</f>
        <v>138808</v>
      </c>
      <c r="R14" s="76">
        <f>SUM('Spec. Konton'!R22:R24)</f>
        <v>59000</v>
      </c>
    </row>
    <row r="15" spans="1:18" ht="12.75" x14ac:dyDescent="0.2">
      <c r="A15" s="80" t="s">
        <v>87</v>
      </c>
      <c r="B15" s="77">
        <f>('Spec. Konton'!B21+'Spec. Konton'!B25)</f>
        <v>0</v>
      </c>
      <c r="C15" s="77">
        <f>('Spec. Konton'!C21+'Spec. Konton'!C25)</f>
        <v>87942</v>
      </c>
      <c r="D15" s="77"/>
      <c r="E15" s="77">
        <f>('Spec. Konton'!E21+'Spec. Konton'!E25)</f>
        <v>0</v>
      </c>
      <c r="F15" s="77">
        <f>('Spec. Konton'!F21+'Spec. Konton'!F25)</f>
        <v>13400</v>
      </c>
      <c r="G15" s="46"/>
      <c r="H15" s="77">
        <f>('Spec. Konton'!H21+'Spec. Konton'!H25)</f>
        <v>3000</v>
      </c>
      <c r="I15" s="77">
        <f>('Spec. Konton'!I21+'Spec. Konton'!I25)</f>
        <v>-250</v>
      </c>
      <c r="J15" s="77">
        <f>('Spec. Konton'!J21+'Spec. Konton'!J25)</f>
        <v>0</v>
      </c>
      <c r="K15" s="77">
        <f>('Spec. Konton'!K21+'Spec. Konton'!K25)</f>
        <v>469</v>
      </c>
      <c r="L15" s="77">
        <f>('Spec. Konton'!L21+'Spec. Konton'!L25)</f>
        <v>0</v>
      </c>
      <c r="M15" s="77">
        <f>('Spec. Konton'!M21+'Spec. Konton'!M25)</f>
        <v>0</v>
      </c>
      <c r="N15" s="77">
        <f>('Spec. Konton'!N21+'Spec. Konton'!N25)</f>
        <v>0</v>
      </c>
      <c r="O15" s="77">
        <f>('Spec. Konton'!O21+'Spec. Konton'!O25)</f>
        <v>0</v>
      </c>
      <c r="P15" s="77">
        <f>('Spec. Konton'!P21+'Spec. Konton'!P25)</f>
        <v>0</v>
      </c>
      <c r="Q15" s="77">
        <f>('Spec. Konton'!Q21+'Spec. Konton'!Q25)</f>
        <v>0</v>
      </c>
      <c r="R15" s="77">
        <f>('Spec. Konton'!R21+'Spec. Konton'!R25)</f>
        <v>0</v>
      </c>
    </row>
    <row r="16" spans="1:18" ht="12.75" x14ac:dyDescent="0.2">
      <c r="A16" s="12"/>
      <c r="B16" s="76"/>
      <c r="C16" s="78"/>
      <c r="D16" s="76"/>
      <c r="E16" s="76"/>
      <c r="F16" s="76"/>
      <c r="G16" s="12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</row>
    <row r="17" spans="1:18" s="1" customFormat="1" ht="12.75" x14ac:dyDescent="0.2">
      <c r="A17" s="40" t="s">
        <v>31</v>
      </c>
      <c r="B17" s="79">
        <f>SUM(B7:B15)</f>
        <v>762400</v>
      </c>
      <c r="C17" s="79">
        <f>SUM(C7:C15)</f>
        <v>722121.94</v>
      </c>
      <c r="D17" s="79"/>
      <c r="E17" s="79">
        <f>SUM(E7:E15)</f>
        <v>716350</v>
      </c>
      <c r="F17" s="79">
        <f>SUM(F7:F15)</f>
        <v>684885</v>
      </c>
      <c r="G17" s="40"/>
      <c r="H17" s="79">
        <f t="shared" ref="H17:M17" si="0">SUM(H7:H15)</f>
        <v>717050</v>
      </c>
      <c r="I17" s="79">
        <f t="shared" si="0"/>
        <v>670512</v>
      </c>
      <c r="J17" s="79">
        <f t="shared" si="0"/>
        <v>679050</v>
      </c>
      <c r="K17" s="79">
        <f t="shared" si="0"/>
        <v>338247</v>
      </c>
      <c r="L17" s="79">
        <f t="shared" si="0"/>
        <v>752020</v>
      </c>
      <c r="M17" s="79">
        <f t="shared" si="0"/>
        <v>294133</v>
      </c>
      <c r="N17" s="79">
        <f t="shared" ref="N17:O17" si="1">SUM(N7:N15)</f>
        <v>628750</v>
      </c>
      <c r="O17" s="79">
        <f t="shared" si="1"/>
        <v>657473</v>
      </c>
      <c r="P17" s="79">
        <f t="shared" ref="P17:Q17" si="2">SUM(P7:P15)</f>
        <v>928000</v>
      </c>
      <c r="Q17" s="79">
        <f t="shared" si="2"/>
        <v>700643</v>
      </c>
      <c r="R17" s="79">
        <f t="shared" ref="R17" si="3">SUM(R7:R15)</f>
        <v>718500</v>
      </c>
    </row>
    <row r="18" spans="1:18" ht="12.75" x14ac:dyDescent="0.2">
      <c r="A18" s="12"/>
      <c r="B18" s="76"/>
      <c r="C18" s="78"/>
      <c r="D18" s="76"/>
      <c r="E18" s="76"/>
      <c r="F18" s="76"/>
      <c r="G18" s="12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spans="1:18" ht="12.75" x14ac:dyDescent="0.2">
      <c r="A19" s="12" t="s">
        <v>102</v>
      </c>
      <c r="B19" s="76">
        <f>'Spec. Konton'!B29</f>
        <v>239360</v>
      </c>
      <c r="C19" s="76">
        <f>'Spec. Konton'!C29</f>
        <v>167877</v>
      </c>
      <c r="D19" s="76"/>
      <c r="E19" s="76">
        <f>'Spec. Konton'!E29</f>
        <v>196500</v>
      </c>
      <c r="F19" s="76">
        <f>'Spec. Konton'!F29</f>
        <v>172959</v>
      </c>
      <c r="G19" s="45"/>
      <c r="H19" s="76">
        <f>'Spec. Konton'!H29</f>
        <v>235900</v>
      </c>
      <c r="I19" s="76">
        <f>'Spec. Konton'!I29+'Spec. Konton'!I28</f>
        <v>205989</v>
      </c>
      <c r="J19" s="76">
        <f>'Spec. Konton'!J29</f>
        <v>280000</v>
      </c>
      <c r="K19" s="76">
        <f>'Spec. Konton'!K29</f>
        <v>11640</v>
      </c>
      <c r="L19" s="76">
        <f>'Spec. Konton'!L29</f>
        <v>251700</v>
      </c>
      <c r="M19" s="76">
        <f>'Spec. Konton'!M29+'Spec. Konton'!M28</f>
        <v>134836</v>
      </c>
      <c r="N19" s="76">
        <f>'Spec. Konton'!N29+'Spec. Konton'!N28</f>
        <v>276700</v>
      </c>
      <c r="O19" s="76">
        <f>'Spec. Konton'!O29+'Spec. Konton'!O28</f>
        <v>349015</v>
      </c>
      <c r="P19" s="76">
        <f>'Spec. Konton'!P29+'Spec. Konton'!P28</f>
        <v>493900</v>
      </c>
      <c r="Q19" s="76">
        <f>'Spec. Konton'!Q29+'Spec. Konton'!Q28</f>
        <v>472031</v>
      </c>
      <c r="R19" s="76">
        <f>'Spec. Konton'!R29+'Spec. Konton'!R28</f>
        <v>409200</v>
      </c>
    </row>
    <row r="20" spans="1:18" ht="12.75" x14ac:dyDescent="0.2">
      <c r="A20" s="12" t="s">
        <v>89</v>
      </c>
      <c r="B20" s="76">
        <f>'Spec. Konton'!B30+'Spec. Konton'!B31+'Spec. Konton'!B33+'Spec. Konton'!B34</f>
        <v>84600</v>
      </c>
      <c r="C20" s="76">
        <f>'Spec. Konton'!C30+'Spec. Konton'!C31+'Spec. Konton'!C33+'Spec. Konton'!C34</f>
        <v>70043</v>
      </c>
      <c r="D20" s="76"/>
      <c r="E20" s="76">
        <f>'Spec. Konton'!E30+'Spec. Konton'!E31+'Spec. Konton'!E33+'Spec. Konton'!E34</f>
        <v>70450</v>
      </c>
      <c r="F20" s="76">
        <f>'Spec. Konton'!F30+'Spec. Konton'!F31+'Spec. Konton'!F33+'Spec. Konton'!F34</f>
        <v>102736</v>
      </c>
      <c r="G20" s="45"/>
      <c r="H20" s="76">
        <f>'Spec. Konton'!H30+'Spec. Konton'!H31+'Spec. Konton'!H33+'Spec. Konton'!H34</f>
        <v>70450</v>
      </c>
      <c r="I20" s="76">
        <f>'Spec. Konton'!I30+'Spec. Konton'!I31+'Spec. Konton'!I33+'Spec. Konton'!I34</f>
        <v>46667</v>
      </c>
      <c r="J20" s="76">
        <f>'Spec. Konton'!J30+'Spec. Konton'!J31+'Spec. Konton'!J33+'Spec. Konton'!J34</f>
        <v>83450</v>
      </c>
      <c r="K20" s="76">
        <f>'Spec. Konton'!K30+'Spec. Konton'!K31+'Spec. Konton'!K33+'Spec. Konton'!K34</f>
        <v>4949</v>
      </c>
      <c r="L20" s="76">
        <f>'Spec. Konton'!L30+'Spec. Konton'!L31+'Spec. Konton'!L33+'Spec. Konton'!L34</f>
        <v>178750</v>
      </c>
      <c r="M20" s="76">
        <f>'Spec. Konton'!M30+'Spec. Konton'!M31+'Spec. Konton'!M33+'Spec. Konton'!M34</f>
        <v>53200</v>
      </c>
      <c r="N20" s="76">
        <f>'Spec. Konton'!N30+'Spec. Konton'!N31+'Spec. Konton'!N33+'Spec. Konton'!N34</f>
        <v>81850</v>
      </c>
      <c r="O20" s="76">
        <f>'Spec. Konton'!O30+'Spec. Konton'!O31+'Spec. Konton'!O33+'Spec. Konton'!O34</f>
        <v>172302.2</v>
      </c>
      <c r="P20" s="76">
        <f>'Spec. Konton'!P30+'Spec. Konton'!P31+'Spec. Konton'!P33+'Spec. Konton'!P34</f>
        <v>155850</v>
      </c>
      <c r="Q20" s="76">
        <f>'Spec. Konton'!Q30+'Spec. Konton'!Q31+'Spec. Konton'!Q33+'Spec. Konton'!Q34</f>
        <v>216672</v>
      </c>
      <c r="R20" s="76">
        <f>'Spec. Konton'!R30+'Spec. Konton'!R31+'Spec. Konton'!R33+'Spec. Konton'!R34</f>
        <v>196975</v>
      </c>
    </row>
    <row r="21" spans="1:18" ht="12.75" x14ac:dyDescent="0.2">
      <c r="A21" s="12" t="s">
        <v>103</v>
      </c>
      <c r="B21" s="76">
        <f>'Spec. Konton'!B32</f>
        <v>2200</v>
      </c>
      <c r="C21" s="76">
        <f>'Spec. Konton'!C32</f>
        <v>2260</v>
      </c>
      <c r="D21" s="76"/>
      <c r="E21" s="76">
        <f>'Spec. Konton'!E32</f>
        <v>2500</v>
      </c>
      <c r="F21" s="76">
        <f>'Spec. Konton'!F32</f>
        <v>1991</v>
      </c>
      <c r="G21" s="45"/>
      <c r="H21" s="76">
        <f>'Spec. Konton'!H32</f>
        <v>2900</v>
      </c>
      <c r="I21" s="76">
        <f>'Spec. Konton'!I32</f>
        <v>2635</v>
      </c>
      <c r="J21" s="76">
        <f>'Spec. Konton'!J32</f>
        <v>2900</v>
      </c>
      <c r="K21" s="76">
        <f>'Spec. Konton'!K32</f>
        <v>0</v>
      </c>
      <c r="L21" s="76">
        <f>'Spec. Konton'!L32</f>
        <v>500</v>
      </c>
      <c r="M21" s="76">
        <f>'Spec. Konton'!M32</f>
        <v>1372</v>
      </c>
      <c r="N21" s="76">
        <f>'Spec. Konton'!N32</f>
        <v>900</v>
      </c>
      <c r="O21" s="76">
        <f>'Spec. Konton'!O32</f>
        <v>4869</v>
      </c>
      <c r="P21" s="76">
        <f>'Spec. Konton'!P32</f>
        <v>2400</v>
      </c>
      <c r="Q21" s="76">
        <f>'Spec. Konton'!Q32</f>
        <v>275</v>
      </c>
      <c r="R21" s="76">
        <f>'Spec. Konton'!R32</f>
        <v>900</v>
      </c>
    </row>
    <row r="22" spans="1:18" ht="12.75" x14ac:dyDescent="0.2">
      <c r="A22" s="12" t="s">
        <v>75</v>
      </c>
      <c r="B22" s="76">
        <f>'Spec. Konton'!B35+'Spec. Konton'!B55+'Spec. Konton'!B56</f>
        <v>66500</v>
      </c>
      <c r="C22" s="76">
        <f>'Spec. Konton'!C35+'Spec. Konton'!C55+'Spec. Konton'!C56</f>
        <v>51420</v>
      </c>
      <c r="D22" s="76"/>
      <c r="E22" s="76">
        <f>'Spec. Konton'!E35+'Spec. Konton'!E55+'Spec. Konton'!E56</f>
        <v>58000</v>
      </c>
      <c r="F22" s="76">
        <f>'Spec. Konton'!F35+'Spec. Konton'!F55+'Spec. Konton'!F56+'Spec. Konton'!F57</f>
        <v>26800</v>
      </c>
      <c r="G22" s="45"/>
      <c r="H22" s="76">
        <f>'Spec. Konton'!H35+'Spec. Konton'!H55+'Spec. Konton'!H56</f>
        <v>52000</v>
      </c>
      <c r="I22" s="76">
        <f>'Spec. Konton'!I35+'Spec. Konton'!I55+'Spec. Konton'!I56</f>
        <v>42000</v>
      </c>
      <c r="J22" s="76">
        <f>'Spec. Konton'!J35+'Spec. Konton'!J55+'Spec. Konton'!J56</f>
        <v>62000</v>
      </c>
      <c r="K22" s="76">
        <f>'Spec. Konton'!K35+'Spec. Konton'!K55+'Spec. Konton'!K56</f>
        <v>42000</v>
      </c>
      <c r="L22" s="76">
        <f>'Spec. Konton'!L35+'Spec. Konton'!L55+'Spec. Konton'!L56</f>
        <v>68000</v>
      </c>
      <c r="M22" s="76">
        <f>'Spec. Konton'!M35+'Spec. Konton'!M55+'Spec. Konton'!M56</f>
        <v>49000</v>
      </c>
      <c r="N22" s="76">
        <f>'Spec. Konton'!N35+'Spec. Konton'!N55+'Spec. Konton'!N56</f>
        <v>79000</v>
      </c>
      <c r="O22" s="76">
        <f>'Spec. Konton'!O35+'Spec. Konton'!O55+'Spec. Konton'!O56</f>
        <v>55000</v>
      </c>
      <c r="P22" s="76">
        <f>'Spec. Konton'!P35+'Spec. Konton'!P55+'Spec. Konton'!P56</f>
        <v>61000</v>
      </c>
      <c r="Q22" s="76">
        <f>'Spec. Konton'!Q35+'Spec. Konton'!Q55+'Spec. Konton'!Q56</f>
        <v>68500</v>
      </c>
      <c r="R22" s="76">
        <f>'Spec. Konton'!R35+'Spec. Konton'!R55+'Spec. Konton'!R56</f>
        <v>61500</v>
      </c>
    </row>
    <row r="23" spans="1:18" ht="12.75" x14ac:dyDescent="0.2">
      <c r="A23" s="12" t="s">
        <v>107</v>
      </c>
      <c r="B23" s="76">
        <f>SUM('Spec. Konton'!B36:B38)</f>
        <v>118400</v>
      </c>
      <c r="C23" s="76">
        <f>SUM('Spec. Konton'!C36:C38)</f>
        <v>45505</v>
      </c>
      <c r="D23" s="76"/>
      <c r="E23" s="76">
        <f>SUM('Spec. Konton'!E36:E38)</f>
        <v>61700</v>
      </c>
      <c r="F23" s="76">
        <f>SUM('Spec. Konton'!F36:F38)</f>
        <v>33300</v>
      </c>
      <c r="G23" s="45"/>
      <c r="H23" s="76">
        <f>SUM('Spec. Konton'!H36:H38)</f>
        <v>106300</v>
      </c>
      <c r="I23" s="76">
        <f>SUM('Spec. Konton'!I36:I38)</f>
        <v>43360</v>
      </c>
      <c r="J23" s="76">
        <f>SUM('Spec. Konton'!J36:J38)</f>
        <v>106300</v>
      </c>
      <c r="K23" s="76">
        <f>SUM('Spec. Konton'!K36:K38)</f>
        <v>22552</v>
      </c>
      <c r="L23" s="76">
        <f>SUM('Spec. Konton'!L36:L38)</f>
        <v>81300</v>
      </c>
      <c r="M23" s="76">
        <f>SUM('Spec. Konton'!M36:M38)</f>
        <v>3150</v>
      </c>
      <c r="N23" s="76">
        <f>SUM('Spec. Konton'!N36:N38)</f>
        <v>99300</v>
      </c>
      <c r="O23" s="76">
        <f>SUM('Spec. Konton'!O36:O38)</f>
        <v>13814</v>
      </c>
      <c r="P23" s="76">
        <f>SUM('Spec. Konton'!P36:P38)</f>
        <v>27000</v>
      </c>
      <c r="Q23" s="76">
        <f>SUM('Spec. Konton'!Q36:Q38)</f>
        <v>22000</v>
      </c>
      <c r="R23" s="76">
        <f>SUM('Spec. Konton'!R36:R38)</f>
        <v>28200</v>
      </c>
    </row>
    <row r="24" spans="1:18" ht="12.75" x14ac:dyDescent="0.2">
      <c r="A24" s="12" t="s">
        <v>94</v>
      </c>
      <c r="B24" s="76">
        <f>SUM('Spec. Konton'!B39:B40)</f>
        <v>51100</v>
      </c>
      <c r="C24" s="76">
        <f>SUM('Spec. Konton'!C39:C40)</f>
        <v>28957.5</v>
      </c>
      <c r="D24" s="76"/>
      <c r="E24" s="76">
        <f>SUM('Spec. Konton'!E39:E40)</f>
        <v>85100</v>
      </c>
      <c r="F24" s="76">
        <f>SUM('Spec. Konton'!F39:'Spec. Konton'!F40)+'Spec. Konton'!F50</f>
        <v>69883</v>
      </c>
      <c r="G24" s="45"/>
      <c r="H24" s="76">
        <f>SUM('Spec. Konton'!H39:H40)</f>
        <v>73800</v>
      </c>
      <c r="I24" s="76">
        <f>SUM('Spec. Konton'!I39:I40)</f>
        <v>27160</v>
      </c>
      <c r="J24" s="76">
        <f>SUM('Spec. Konton'!J39:J40)</f>
        <v>92300</v>
      </c>
      <c r="K24" s="76">
        <f>SUM('Spec. Konton'!K39:K40)</f>
        <v>700</v>
      </c>
      <c r="L24" s="76">
        <f>SUM('Spec. Konton'!L39:L40)</f>
        <v>66300</v>
      </c>
      <c r="M24" s="76">
        <f>SUM('Spec. Konton'!M39:M40)</f>
        <v>35922</v>
      </c>
      <c r="N24" s="76">
        <f>SUM('Spec. Konton'!N39:N40)</f>
        <v>25300</v>
      </c>
      <c r="O24" s="76">
        <f>SUM('Spec. Konton'!O39:O40)</f>
        <v>43052</v>
      </c>
      <c r="P24" s="76">
        <f>SUM('Spec. Konton'!P39:P40)</f>
        <v>48300</v>
      </c>
      <c r="Q24" s="76">
        <f>SUM('Spec. Konton'!Q39:Q40)</f>
        <v>18696</v>
      </c>
      <c r="R24" s="76">
        <f>SUM('Spec. Konton'!R39:R40)</f>
        <v>35000</v>
      </c>
    </row>
    <row r="25" spans="1:18" ht="12.75" x14ac:dyDescent="0.2">
      <c r="A25" s="12" t="s">
        <v>90</v>
      </c>
      <c r="B25" s="76">
        <f>SUM('Spec. Konton'!B41:B42)</f>
        <v>40400</v>
      </c>
      <c r="C25" s="76">
        <f>SUM('Spec. Konton'!C41:C42)+'Spec. Konton'!C50</f>
        <v>176941</v>
      </c>
      <c r="D25" s="76"/>
      <c r="E25" s="76">
        <f>SUM('Spec. Konton'!E41:E42)</f>
        <v>40100</v>
      </c>
      <c r="F25" s="76">
        <f>SUM('Spec. Konton'!F41:F42)</f>
        <v>21600</v>
      </c>
      <c r="G25" s="45"/>
      <c r="H25" s="76">
        <f>SUM('Spec. Konton'!H41:H42)</f>
        <v>41100</v>
      </c>
      <c r="I25" s="76">
        <f>SUM('Spec. Konton'!I41:I42)</f>
        <v>32638</v>
      </c>
      <c r="J25" s="76">
        <f>SUM('Spec. Konton'!J41:J42)</f>
        <v>31100</v>
      </c>
      <c r="K25" s="76">
        <f>SUM('Spec. Konton'!K41:K42)</f>
        <v>6000</v>
      </c>
      <c r="L25" s="76">
        <f>SUM('Spec. Konton'!L41:L42)</f>
        <v>19100</v>
      </c>
      <c r="M25" s="76">
        <f>SUM('Spec. Konton'!M41:M43)</f>
        <v>10380</v>
      </c>
      <c r="N25" s="76">
        <f>SUM('Spec. Konton'!N41:N43)</f>
        <v>22600</v>
      </c>
      <c r="O25" s="76">
        <f>SUM('Spec. Konton'!O41:O43)</f>
        <v>0</v>
      </c>
      <c r="P25" s="76">
        <f>SUM('Spec. Konton'!P41:P43)</f>
        <v>20000</v>
      </c>
      <c r="Q25" s="76">
        <f>SUM('Spec. Konton'!Q41:Q43)</f>
        <v>0</v>
      </c>
      <c r="R25" s="76">
        <f>SUM('Spec. Konton'!R41:R43)</f>
        <v>20000</v>
      </c>
    </row>
    <row r="26" spans="1:18" ht="12.75" x14ac:dyDescent="0.2">
      <c r="A26" s="12" t="s">
        <v>91</v>
      </c>
      <c r="B26" s="76">
        <f>'Spec. Konton'!B44+'Spec. Konton'!B47+'Spec. Konton'!B49+'Spec. Konton'!B51+'Spec. Konton'!B52+'Spec. Konton'!B53+'Spec. Konton'!B58</f>
        <v>36700</v>
      </c>
      <c r="C26" s="76">
        <f>'Spec. Konton'!C44+'Spec. Konton'!C47+'Spec. Konton'!C49+'Spec. Konton'!C51+'Spec. Konton'!C52+'Spec. Konton'!C53+'Spec. Konton'!C58</f>
        <v>50047.99</v>
      </c>
      <c r="D26" s="76"/>
      <c r="E26" s="76">
        <f>'Spec. Konton'!E44+'Spec. Konton'!E47+'Spec. Konton'!E49+'Spec. Konton'!E51+'Spec. Konton'!E52+'Spec. Konton'!E53+'Spec. Konton'!E58</f>
        <v>34500</v>
      </c>
      <c r="F26" s="76">
        <f>'Spec. Konton'!F44+'Spec. Konton'!F47+'Spec. Konton'!F49+'Spec. Konton'!F51+'Spec. Konton'!F52+'Spec. Konton'!F53+'Spec. Konton'!F58</f>
        <v>42092</v>
      </c>
      <c r="G26" s="45"/>
      <c r="H26" s="76">
        <f>'Spec. Konton'!H44+'Spec. Konton'!H47+'Spec. Konton'!H49+'Spec. Konton'!H51+'Spec. Konton'!H52+'Spec. Konton'!H53+'Spec. Konton'!H58</f>
        <v>47700</v>
      </c>
      <c r="I26" s="76">
        <f>'Spec. Konton'!I44+'Spec. Konton'!I47+'Spec. Konton'!I49+'Spec. Konton'!I51+'Spec. Konton'!I52+'Spec. Konton'!I53+'Spec. Konton'!I58</f>
        <v>69549</v>
      </c>
      <c r="J26" s="76">
        <f>'Spec. Konton'!J44+'Spec. Konton'!J47+'Spec. Konton'!J49+'Spec. Konton'!J51+'Spec. Konton'!J52+'Spec. Konton'!J53+'Spec. Konton'!J58</f>
        <v>106700</v>
      </c>
      <c r="K26" s="76">
        <f>'Spec. Konton'!K44+'Spec. Konton'!K47+'Spec. Konton'!K49+'Spec. Konton'!K51+'Spec. Konton'!K52+'Spec. Konton'!K53+'Spec. Konton'!K58</f>
        <v>56483</v>
      </c>
      <c r="L26" s="76">
        <f>'Spec. Konton'!L44+'Spec. Konton'!L47+'Spec. Konton'!L49+'Spec. Konton'!L51+'Spec. Konton'!L52+'Spec. Konton'!L53+'Spec. Konton'!L58</f>
        <v>90400</v>
      </c>
      <c r="M26" s="76">
        <f>'Spec. Konton'!M44+'Spec. Konton'!M47+'Spec. Konton'!M49+'Spec. Konton'!M51+'Spec. Konton'!M52+'Spec. Konton'!M53+'Spec. Konton'!M58</f>
        <v>46812</v>
      </c>
      <c r="N26" s="76">
        <f>'Spec. Konton'!N44+'Spec. Konton'!N47+'Spec. Konton'!N49+'Spec. Konton'!N51+'Spec. Konton'!N52+'Spec. Konton'!N53+'Spec. Konton'!N58</f>
        <v>75050</v>
      </c>
      <c r="O26" s="76">
        <f>'Spec. Konton'!O44+'Spec. Konton'!O47+'Spec. Konton'!O49+'Spec. Konton'!O51+'Spec. Konton'!O52+'Spec. Konton'!O53+'Spec. Konton'!O58+'Spec. Konton-RES.ENH'!O50</f>
        <v>106980.58</v>
      </c>
      <c r="P26" s="76">
        <f>'Spec. Konton'!P44+'Spec. Konton'!P47+'Spec. Konton'!P49+'Spec. Konton'!P51+'Spec. Konton'!P52+'Spec. Konton'!P53+'Spec. Konton'!P58</f>
        <v>68800</v>
      </c>
      <c r="Q26" s="76">
        <f>'Spec. Konton'!Q44+'Spec. Konton'!Q47+'Spec. Konton'!Q49+'Spec. Konton'!Q51+'Spec. Konton'!Q52+'Spec. Konton'!Q53+'Spec. Konton'!Q58+'Spec. Konton-RES.ENH'!Q50</f>
        <v>48078</v>
      </c>
      <c r="R26" s="76">
        <f>'Spec. Konton'!R44+'Spec. Konton'!R47+'Spec. Konton'!R49+'Spec. Konton'!R51+'Spec. Konton'!R52+'Spec. Konton'!R53+'Spec. Konton'!R58+'Spec. Konton-RES.ENH'!R50</f>
        <v>45875</v>
      </c>
    </row>
    <row r="27" spans="1:18" ht="12.75" x14ac:dyDescent="0.2">
      <c r="A27" s="12" t="s">
        <v>92</v>
      </c>
      <c r="B27" s="76">
        <f>'Spec. Konton'!B46</f>
        <v>3000</v>
      </c>
      <c r="C27" s="76">
        <f>'Spec. Konton'!C46</f>
        <v>734</v>
      </c>
      <c r="D27" s="76"/>
      <c r="E27" s="76">
        <f>'Spec. Konton'!E46</f>
        <v>500</v>
      </c>
      <c r="F27" s="76">
        <f>'Spec. Konton'!F46</f>
        <v>12455</v>
      </c>
      <c r="G27" s="45"/>
      <c r="H27" s="76">
        <f>'Spec. Konton'!H46</f>
        <v>3000</v>
      </c>
      <c r="I27" s="76">
        <f>'Spec. Konton'!I46</f>
        <v>483</v>
      </c>
      <c r="J27" s="76">
        <f>'Spec. Konton'!J46</f>
        <v>6000</v>
      </c>
      <c r="K27" s="76">
        <f>'Spec. Konton'!K46+'Spec. Konton'!K45</f>
        <v>5704</v>
      </c>
      <c r="L27" s="76">
        <f>'Spec. Konton'!L46</f>
        <v>2000</v>
      </c>
      <c r="M27" s="76">
        <f>'Spec. Konton'!M46+'Spec. Konton'!M45</f>
        <v>10539</v>
      </c>
      <c r="N27" s="76">
        <f>'Spec. Konton'!N46+'Spec. Konton'!N45</f>
        <v>17000</v>
      </c>
      <c r="O27" s="76">
        <f>'Spec. Konton'!O46+'Spec. Konton'!O45</f>
        <v>13667</v>
      </c>
      <c r="P27" s="76">
        <f>'Spec. Konton'!P46+'Spec. Konton'!P45</f>
        <v>39700</v>
      </c>
      <c r="Q27" s="76">
        <f>'Spec. Konton'!Q46+'Spec. Konton'!Q45</f>
        <v>19930</v>
      </c>
      <c r="R27" s="76">
        <f>'Spec. Konton'!R46+'Spec. Konton'!R45</f>
        <v>6000</v>
      </c>
    </row>
    <row r="28" spans="1:18" ht="12.75" x14ac:dyDescent="0.2">
      <c r="A28" s="12" t="s">
        <v>93</v>
      </c>
      <c r="B28" s="76">
        <f>'Spec. Konton'!B48</f>
        <v>45240</v>
      </c>
      <c r="C28" s="76">
        <f>'Spec. Konton'!C48</f>
        <v>69224.100000000006</v>
      </c>
      <c r="D28" s="76"/>
      <c r="E28" s="76">
        <f>'Spec. Konton'!E48</f>
        <v>39100</v>
      </c>
      <c r="F28" s="76">
        <f>'Spec. Konton'!F48</f>
        <v>34658</v>
      </c>
      <c r="G28" s="45"/>
      <c r="H28" s="76">
        <f>'Spec. Konton'!H48</f>
        <v>55000</v>
      </c>
      <c r="I28" s="76">
        <f>'Spec. Konton'!I48</f>
        <v>24375</v>
      </c>
      <c r="J28" s="76">
        <f>'Spec. Konton'!J48</f>
        <v>55000</v>
      </c>
      <c r="K28" s="76">
        <f>'Spec. Konton'!K48</f>
        <v>4497</v>
      </c>
      <c r="L28" s="76">
        <f>'Spec. Konton'!L48</f>
        <v>46100</v>
      </c>
      <c r="M28" s="76">
        <f>'Spec. Konton'!M48</f>
        <v>21706</v>
      </c>
      <c r="N28" s="76">
        <f>'Spec. Konton'!N48</f>
        <v>48100</v>
      </c>
      <c r="O28" s="76">
        <f>'Spec. Konton'!O48</f>
        <v>53110</v>
      </c>
      <c r="P28" s="76">
        <f>'Spec. Konton'!P48</f>
        <v>67000</v>
      </c>
      <c r="Q28" s="76">
        <f>'Spec. Konton'!Q48</f>
        <v>41910</v>
      </c>
      <c r="R28" s="76">
        <f>'Spec. Konton'!R48</f>
        <v>47600</v>
      </c>
    </row>
    <row r="29" spans="1:18" ht="12.75" x14ac:dyDescent="0.2">
      <c r="A29" s="12" t="s">
        <v>87</v>
      </c>
      <c r="B29" s="76">
        <f>'Spec. Konton'!B54</f>
        <v>32000</v>
      </c>
      <c r="C29" s="76">
        <f>'Spec. Konton'!C54</f>
        <v>10379</v>
      </c>
      <c r="D29" s="76"/>
      <c r="E29" s="76">
        <f>'Spec. Konton'!E54</f>
        <v>8000</v>
      </c>
      <c r="F29" s="76">
        <f>'Spec. Konton'!F54</f>
        <v>16425</v>
      </c>
      <c r="G29" s="45"/>
      <c r="H29" s="76">
        <f>'Spec. Konton'!H54</f>
        <v>22000</v>
      </c>
      <c r="I29" s="76">
        <f>'Spec. Konton'!I54</f>
        <v>23216</v>
      </c>
      <c r="J29" s="76">
        <f>'Spec. Konton'!J54</f>
        <v>22000</v>
      </c>
      <c r="K29" s="76">
        <f>'Spec. Konton'!K54</f>
        <v>1838</v>
      </c>
      <c r="L29" s="76">
        <f>'Spec. Konton'!L54</f>
        <v>37500</v>
      </c>
      <c r="M29" s="76">
        <f>'Spec. Konton'!M54</f>
        <v>9008</v>
      </c>
      <c r="N29" s="76">
        <f>'Spec. Konton'!N54</f>
        <v>255000</v>
      </c>
      <c r="O29" s="76">
        <f>'Spec. Konton'!O54</f>
        <v>914</v>
      </c>
      <c r="P29" s="76">
        <f>'Spec. Konton'!P54</f>
        <v>154500</v>
      </c>
      <c r="Q29" s="76">
        <f>'Spec. Konton'!Q54</f>
        <v>19078</v>
      </c>
      <c r="R29" s="76">
        <f>'Spec. Konton'!R54</f>
        <v>154500</v>
      </c>
    </row>
    <row r="30" spans="1:18" ht="12.75" x14ac:dyDescent="0.2">
      <c r="A30" s="12" t="s">
        <v>95</v>
      </c>
      <c r="B30" s="76">
        <f>SUM('Spec. Konton'!B59:B66)</f>
        <v>204900</v>
      </c>
      <c r="C30" s="76">
        <f>SUM('Spec. Konton'!C59:C66)</f>
        <v>200506</v>
      </c>
      <c r="D30" s="76"/>
      <c r="E30" s="76">
        <f>SUM('Spec. Konton'!E59:E66)</f>
        <v>220900</v>
      </c>
      <c r="F30" s="76">
        <f>SUM('Spec. Konton'!F59:F66)</f>
        <v>199179</v>
      </c>
      <c r="G30" s="45"/>
      <c r="H30" s="76">
        <f>SUM('Spec. Konton'!H59:H66)</f>
        <v>94900</v>
      </c>
      <c r="I30" s="76">
        <f>SUM('Spec. Konton'!I59:I66)</f>
        <v>396</v>
      </c>
      <c r="J30" s="76">
        <f>SUM('Spec. Konton'!J59:J66)</f>
        <v>59900</v>
      </c>
      <c r="K30" s="76">
        <f>SUM('Spec. Konton'!K59:K66)</f>
        <v>0</v>
      </c>
      <c r="L30" s="76">
        <f>SUM('Spec. Konton'!L59:L66)</f>
        <v>0</v>
      </c>
      <c r="M30" s="76">
        <f>SUM('Spec. Konton'!M59:M66)</f>
        <v>39599</v>
      </c>
      <c r="N30" s="76">
        <f>SUM('Spec. Konton'!N59:N66)</f>
        <v>199000</v>
      </c>
      <c r="O30" s="76">
        <f>SUM('Spec. Konton'!O59:O66)</f>
        <v>205865</v>
      </c>
      <c r="P30" s="76">
        <f>SUM('Spec. Konton'!P59:P66)</f>
        <v>1000</v>
      </c>
      <c r="Q30" s="76">
        <f>SUM('Spec. Konton'!Q59:Q66)</f>
        <v>-1890</v>
      </c>
      <c r="R30" s="76">
        <f>SUM('Spec. Konton'!R59:R66)</f>
        <v>0</v>
      </c>
    </row>
    <row r="31" spans="1:18" ht="12.75" x14ac:dyDescent="0.2">
      <c r="A31" s="12" t="s">
        <v>96</v>
      </c>
      <c r="B31" s="76">
        <f>'Spec. Konton'!B67</f>
        <v>-5000</v>
      </c>
      <c r="C31" s="76">
        <f>'Spec. Konton'!C67</f>
        <v>-6738.04</v>
      </c>
      <c r="D31" s="76"/>
      <c r="E31" s="76">
        <f>'Spec. Konton'!E67</f>
        <v>-6000</v>
      </c>
      <c r="F31" s="76">
        <f>'Spec. Konton'!F67</f>
        <v>-3335</v>
      </c>
      <c r="G31" s="45"/>
      <c r="H31" s="76">
        <f>'Spec. Konton'!H67</f>
        <v>-4000</v>
      </c>
      <c r="I31" s="76">
        <v>-4930</v>
      </c>
      <c r="J31" s="76">
        <f>'Spec. Konton'!J67</f>
        <v>-4000</v>
      </c>
      <c r="K31" s="76">
        <f>'Spec. Konton'!K67</f>
        <v>-4170</v>
      </c>
      <c r="L31" s="76">
        <f>'Spec. Konton'!L67</f>
        <v>-4000</v>
      </c>
      <c r="M31" s="76">
        <f>'Spec. Konton'!M67</f>
        <v>-4922</v>
      </c>
      <c r="N31" s="76">
        <f>'Spec. Konton'!N67</f>
        <v>-4500</v>
      </c>
      <c r="O31" s="76">
        <f>'Spec. Konton'!O67</f>
        <v>-8501.74</v>
      </c>
      <c r="P31" s="76">
        <f>'Spec. Konton'!P67</f>
        <v>-15000</v>
      </c>
      <c r="Q31" s="76">
        <f>'Spec. Konton'!Q67</f>
        <v>-59299</v>
      </c>
      <c r="R31" s="76">
        <f>'Spec. Konton'!R67</f>
        <v>-35000</v>
      </c>
    </row>
    <row r="32" spans="1:18" ht="12.75" x14ac:dyDescent="0.2">
      <c r="A32" s="80" t="s">
        <v>97</v>
      </c>
      <c r="B32" s="77">
        <f>SUM('Spec. Konton'!B68:B70)</f>
        <v>1000</v>
      </c>
      <c r="C32" s="77">
        <f>SUM('Spec. Konton'!C68:C70)</f>
        <v>2500</v>
      </c>
      <c r="D32" s="77"/>
      <c r="E32" s="77">
        <f>SUM('Spec. Konton'!E68:E70)</f>
        <v>7000</v>
      </c>
      <c r="F32" s="77">
        <f>SUM('Spec. Konton'!F68:F70)</f>
        <v>1000</v>
      </c>
      <c r="G32" s="46"/>
      <c r="H32" s="77">
        <f>SUM('Spec. Konton'!H68:H70)</f>
        <v>7000</v>
      </c>
      <c r="I32" s="77">
        <f>SUM('Spec. Konton'!I68:I70)</f>
        <v>0</v>
      </c>
      <c r="J32" s="77">
        <f>SUM('Spec. Konton'!J68:J70)</f>
        <v>7000</v>
      </c>
      <c r="K32" s="77">
        <f>SUM('Spec. Konton'!K68:K70)</f>
        <v>0</v>
      </c>
      <c r="L32" s="77">
        <f>SUM('Spec. Konton'!L68:L70)</f>
        <v>0</v>
      </c>
      <c r="M32" s="77">
        <f>SUM('Spec. Konton'!M68:M70)</f>
        <v>0</v>
      </c>
      <c r="N32" s="77">
        <f>SUM('Spec. Konton'!N68:N70)</f>
        <v>0</v>
      </c>
      <c r="O32" s="77">
        <f>SUM('Spec. Konton'!O68:O70)</f>
        <v>0</v>
      </c>
      <c r="P32" s="77">
        <f>SUM('Spec. Konton'!P68:P70)</f>
        <v>0</v>
      </c>
      <c r="Q32" s="77">
        <f>SUM('Spec. Konton'!Q68:Q70)</f>
        <v>0</v>
      </c>
      <c r="R32" s="77">
        <f>SUM('Spec. Konton'!R68:R70)</f>
        <v>0</v>
      </c>
    </row>
    <row r="33" spans="1:18" ht="12.75" x14ac:dyDescent="0.2">
      <c r="A33" s="12"/>
      <c r="B33" s="76"/>
      <c r="C33" s="78"/>
      <c r="D33" s="76"/>
      <c r="E33" s="76"/>
      <c r="F33" s="76"/>
      <c r="G33" s="12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</row>
    <row r="34" spans="1:18" s="1" customFormat="1" ht="12.75" x14ac:dyDescent="0.2">
      <c r="A34" s="40" t="s">
        <v>32</v>
      </c>
      <c r="B34" s="79">
        <f>SUM(B19:B32)</f>
        <v>920400</v>
      </c>
      <c r="C34" s="79">
        <f>SUM(C19:C32)</f>
        <v>869656.54999999993</v>
      </c>
      <c r="D34" s="79"/>
      <c r="E34" s="79">
        <f>SUM(E19:E32)</f>
        <v>818350</v>
      </c>
      <c r="F34" s="79">
        <f>SUM(F19:F32)</f>
        <v>731743</v>
      </c>
      <c r="G34" s="40"/>
      <c r="H34" s="79">
        <f t="shared" ref="H34:M34" si="4">SUM(H19:H32)</f>
        <v>808050</v>
      </c>
      <c r="I34" s="79">
        <f t="shared" si="4"/>
        <v>513538</v>
      </c>
      <c r="J34" s="79">
        <f t="shared" si="4"/>
        <v>910650</v>
      </c>
      <c r="K34" s="79">
        <f t="shared" si="4"/>
        <v>152193</v>
      </c>
      <c r="L34" s="79">
        <f t="shared" si="4"/>
        <v>837650</v>
      </c>
      <c r="M34" s="79">
        <f t="shared" si="4"/>
        <v>410602</v>
      </c>
      <c r="N34" s="79">
        <f t="shared" ref="N34:O34" si="5">SUM(N19:N32)</f>
        <v>1175300</v>
      </c>
      <c r="O34" s="79">
        <f t="shared" si="5"/>
        <v>1010087.0399999999</v>
      </c>
      <c r="P34" s="79">
        <f t="shared" ref="P34:Q34" si="6">SUM(P19:P32)</f>
        <v>1124450</v>
      </c>
      <c r="Q34" s="79">
        <f t="shared" si="6"/>
        <v>865981</v>
      </c>
      <c r="R34" s="79">
        <f t="shared" ref="R34" si="7">SUM(R19:R32)</f>
        <v>970750</v>
      </c>
    </row>
    <row r="35" spans="1:18" ht="12.75" x14ac:dyDescent="0.2">
      <c r="A35" s="12"/>
      <c r="B35" s="76"/>
      <c r="C35" s="78"/>
      <c r="D35" s="76"/>
      <c r="E35" s="76"/>
      <c r="F35" s="78"/>
      <c r="G35" s="12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</row>
    <row r="36" spans="1:18" s="4" customFormat="1" ht="12.75" x14ac:dyDescent="0.2">
      <c r="A36" s="40" t="s">
        <v>5</v>
      </c>
      <c r="B36" s="79">
        <f>SUM(B17-B34)</f>
        <v>-158000</v>
      </c>
      <c r="C36" s="79">
        <f>SUM(C17-C34)</f>
        <v>-147534.60999999999</v>
      </c>
      <c r="D36" s="79"/>
      <c r="E36" s="79">
        <f>SUM(E17-E34)</f>
        <v>-102000</v>
      </c>
      <c r="F36" s="79">
        <f>SUM(F17-F34)</f>
        <v>-46858</v>
      </c>
      <c r="G36" s="40"/>
      <c r="H36" s="79">
        <f t="shared" ref="H36:M36" si="8">SUM(H17-H34)</f>
        <v>-91000</v>
      </c>
      <c r="I36" s="79">
        <f t="shared" si="8"/>
        <v>156974</v>
      </c>
      <c r="J36" s="79">
        <f t="shared" si="8"/>
        <v>-231600</v>
      </c>
      <c r="K36" s="79">
        <f t="shared" si="8"/>
        <v>186054</v>
      </c>
      <c r="L36" s="79">
        <f t="shared" si="8"/>
        <v>-85630</v>
      </c>
      <c r="M36" s="79">
        <f t="shared" si="8"/>
        <v>-116469</v>
      </c>
      <c r="N36" s="79">
        <f t="shared" ref="N36:O36" si="9">SUM(N17-N34)</f>
        <v>-546550</v>
      </c>
      <c r="O36" s="79">
        <f t="shared" si="9"/>
        <v>-352614.03999999992</v>
      </c>
      <c r="P36" s="79">
        <f t="shared" ref="P36:Q36" si="10">SUM(P17-P34)</f>
        <v>-196450</v>
      </c>
      <c r="Q36" s="79">
        <f t="shared" si="10"/>
        <v>-165338</v>
      </c>
      <c r="R36" s="79">
        <f t="shared" ref="R36" si="11">SUM(R17-R34)</f>
        <v>-252250</v>
      </c>
    </row>
    <row r="37" spans="1:18" ht="12.75" x14ac:dyDescent="0.2">
      <c r="A37" s="12"/>
      <c r="B37" s="12"/>
      <c r="C37" s="12"/>
      <c r="D37" s="12"/>
      <c r="E37" s="12"/>
      <c r="F37" s="42"/>
      <c r="G37" s="12"/>
      <c r="H37" s="12"/>
      <c r="I37" s="57"/>
      <c r="J37" s="56"/>
    </row>
    <row r="38" spans="1:18" ht="12.75" x14ac:dyDescent="0.2">
      <c r="A38" s="12"/>
      <c r="B38" s="12"/>
      <c r="C38" s="12"/>
      <c r="D38" s="12"/>
      <c r="E38" s="12"/>
      <c r="F38" s="42"/>
      <c r="G38" s="12"/>
      <c r="H38" s="12"/>
      <c r="I38" s="12"/>
      <c r="J38" s="12"/>
    </row>
    <row r="39" spans="1:18" ht="12.75" x14ac:dyDescent="0.2">
      <c r="A39" s="12"/>
      <c r="B39" s="12"/>
      <c r="C39" s="12"/>
      <c r="D39" s="12"/>
      <c r="E39" s="12"/>
      <c r="F39" s="42"/>
      <c r="G39" s="12"/>
      <c r="H39" s="12"/>
      <c r="I39" s="12"/>
      <c r="J39" s="12"/>
    </row>
    <row r="40" spans="1:18" ht="12.75" x14ac:dyDescent="0.2">
      <c r="A40" s="186"/>
      <c r="B40" s="186"/>
      <c r="C40" s="186"/>
      <c r="D40" s="186"/>
      <c r="E40" s="186"/>
      <c r="F40" s="186"/>
      <c r="G40" s="186"/>
      <c r="H40" s="186"/>
      <c r="I40" s="12"/>
      <c r="J40" s="12"/>
    </row>
    <row r="41" spans="1:18" ht="12.75" x14ac:dyDescent="0.2">
      <c r="A41" s="12"/>
      <c r="B41" s="12"/>
      <c r="C41" s="12"/>
      <c r="D41" s="12"/>
      <c r="E41" s="12"/>
      <c r="F41" s="42"/>
      <c r="G41" s="12"/>
      <c r="H41" s="12"/>
      <c r="I41" s="12"/>
      <c r="J41" s="12"/>
    </row>
    <row r="42" spans="1:18" ht="12.75" x14ac:dyDescent="0.2">
      <c r="A42" s="12"/>
      <c r="B42" s="12"/>
      <c r="C42" s="12"/>
      <c r="D42" s="12"/>
      <c r="E42" s="12"/>
      <c r="F42" s="42"/>
      <c r="G42" s="12"/>
      <c r="H42" s="12"/>
      <c r="I42" s="12"/>
      <c r="J42" s="12"/>
    </row>
    <row r="43" spans="1:18" ht="12.75" x14ac:dyDescent="0.2">
      <c r="A43" s="12"/>
      <c r="B43" s="12"/>
      <c r="C43" s="12"/>
      <c r="D43" s="12"/>
      <c r="E43" s="47"/>
      <c r="F43" s="44"/>
      <c r="G43" s="12"/>
      <c r="H43" s="12"/>
      <c r="I43" s="12"/>
      <c r="J43" s="12"/>
    </row>
    <row r="44" spans="1:18" ht="12.75" x14ac:dyDescent="0.2">
      <c r="J44" s="12"/>
    </row>
    <row r="45" spans="1:18" ht="12.75" x14ac:dyDescent="0.2">
      <c r="J45" s="12"/>
    </row>
    <row r="46" spans="1:18" ht="12.75" x14ac:dyDescent="0.2">
      <c r="J46" s="12"/>
    </row>
    <row r="47" spans="1:18" ht="12.75" x14ac:dyDescent="0.2">
      <c r="J47" s="12"/>
    </row>
    <row r="48" spans="1:18" ht="12.75" x14ac:dyDescent="0.2">
      <c r="J48" s="12"/>
    </row>
    <row r="49" spans="1:10" ht="12.75" x14ac:dyDescent="0.2">
      <c r="J49" s="12"/>
    </row>
    <row r="50" spans="1:10" ht="12.75" x14ac:dyDescent="0.2">
      <c r="A50" s="5">
        <v>42031</v>
      </c>
      <c r="J50" s="12"/>
    </row>
    <row r="51" spans="1:10" ht="12.75" x14ac:dyDescent="0.2">
      <c r="J51" s="12"/>
    </row>
  </sheetData>
  <mergeCells count="2">
    <mergeCell ref="A40:H40"/>
    <mergeCell ref="A1:B1"/>
  </mergeCells>
  <printOptions gridLines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F1"/>
  <sheetViews>
    <sheetView workbookViewId="0">
      <selection activeCell="D29" sqref="D29"/>
    </sheetView>
  </sheetViews>
  <sheetFormatPr defaultColWidth="8.88671875" defaultRowHeight="11.25" x14ac:dyDescent="0.2"/>
  <cols>
    <col min="1" max="5" width="8.88671875" style="2"/>
    <col min="6" max="6" width="8.88671875" style="7"/>
    <col min="7" max="16384" width="8.88671875" style="2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4</vt:i4>
      </vt:variant>
    </vt:vector>
  </HeadingPairs>
  <TitlesOfParts>
    <vt:vector size="9" baseType="lpstr">
      <vt:lpstr>BUDGET</vt:lpstr>
      <vt:lpstr>Spec. Konton-RES.ENH</vt:lpstr>
      <vt:lpstr>Spec. Konton</vt:lpstr>
      <vt:lpstr>Sammandrag Spec.</vt:lpstr>
      <vt:lpstr>Blad1</vt:lpstr>
      <vt:lpstr>BUDGET!Utskriftsområde</vt:lpstr>
      <vt:lpstr>'Sammandrag Spec.'!Utskriftsområde</vt:lpstr>
      <vt:lpstr>'Spec. Konton'!Utskriftsområde</vt:lpstr>
      <vt:lpstr>'Spec. Konton-RES.ENH'!Utskriftsområde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Rolf Lindberg</cp:lastModifiedBy>
  <cp:lastPrinted>2024-08-30T10:33:45Z</cp:lastPrinted>
  <dcterms:created xsi:type="dcterms:W3CDTF">2005-11-14T11:05:42Z</dcterms:created>
  <dcterms:modified xsi:type="dcterms:W3CDTF">2025-09-01T12:17:50Z</dcterms:modified>
</cp:coreProperties>
</file>